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rrem.sharepoint.com/sites/crremfoundation/Documents partages/06_Tool &amp; Data Library/03_Data &amp; Calculation Library/Final Library Outputs/"/>
    </mc:Choice>
  </mc:AlternateContent>
  <xr:revisionPtr revIDLastSave="8401" documentId="8_{4F2C5650-4E01-479B-B413-A6656A781BA3}" xr6:coauthVersionLast="47" xr6:coauthVersionMax="47" xr10:uidLastSave="{FC729601-A11F-477D-90C5-61889266DAB8}"/>
  <bookViews>
    <workbookView xWindow="-108" yWindow="-108" windowWidth="23256" windowHeight="13896" xr2:uid="{5BD5D150-A9A0-4C5F-B1C9-9FFEB1342DBC}"/>
  </bookViews>
  <sheets>
    <sheet name="Summary" sheetId="10" r:id="rId1"/>
    <sheet name="Asset Level Worked Examples" sheetId="5" r:id="rId2"/>
    <sheet name="Portfolio Level Worked Examples" sheetId="9" r:id="rId3"/>
    <sheet name="Example Input" sheetId="4" r:id="rId4"/>
  </sheets>
  <definedNames>
    <definedName name="ajl" localSheetId="0">#REF!</definedName>
    <definedName name="ajl">#REF!</definedName>
    <definedName name="mt" localSheetId="0">#REF!</definedName>
    <definedName name="mt">#REF!</definedName>
    <definedName name="pf" localSheetId="0">#REF!</definedName>
    <definedName name="pf">#REF!</definedName>
    <definedName name="QQ" localSheetId="0">#REF!</definedName>
    <definedName name="QQ">#REF!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8" i="5" l="1" a="1"/>
  <c r="F158" i="5" s="1"/>
  <c r="F163" i="5" s="1"/>
  <c r="E158" i="5" a="1"/>
  <c r="E158" i="5" s="1"/>
  <c r="D158" i="5" a="1"/>
  <c r="D158" i="5" s="1"/>
  <c r="C158" i="5" a="1"/>
  <c r="C158" i="5" s="1"/>
  <c r="C35" i="5"/>
  <c r="E91" i="5"/>
  <c r="E121" i="5" s="1"/>
  <c r="E46" i="9" s="1"/>
  <c r="E15" i="9"/>
  <c r="D15" i="9"/>
  <c r="C15" i="9"/>
  <c r="E12" i="9"/>
  <c r="D12" i="9"/>
  <c r="E162" i="5"/>
  <c r="D162" i="5"/>
  <c r="E141" i="5" a="1"/>
  <c r="E141" i="5"/>
  <c r="D141" i="5" a="1"/>
  <c r="D141" i="5" s="1"/>
  <c r="E140" i="5" a="1"/>
  <c r="E140" i="5" s="1"/>
  <c r="D140" i="5" a="1"/>
  <c r="D140" i="5" s="1"/>
  <c r="E139" i="5"/>
  <c r="D139" i="5"/>
  <c r="C139" i="5"/>
  <c r="F48" i="5"/>
  <c r="E48" i="5"/>
  <c r="D48" i="5"/>
  <c r="C48" i="5"/>
  <c r="D47" i="5"/>
  <c r="F45" i="5"/>
  <c r="E45" i="5"/>
  <c r="D45" i="5"/>
  <c r="C45" i="5"/>
  <c r="D27" i="5"/>
  <c r="D28" i="5" s="1"/>
  <c r="D156" i="5" s="1"/>
  <c r="D159" i="5" s="1" a="1"/>
  <c r="D159" i="5" s="1"/>
  <c r="F16" i="9"/>
  <c r="E16" i="9"/>
  <c r="D16" i="9"/>
  <c r="C16" i="9"/>
  <c r="B79" i="5"/>
  <c r="C79" i="5"/>
  <c r="D79" i="5"/>
  <c r="E79" i="5"/>
  <c r="E109" i="5" s="1"/>
  <c r="E34" i="9" s="1"/>
  <c r="B80" i="5"/>
  <c r="C80" i="5"/>
  <c r="D80" i="5"/>
  <c r="E80" i="5"/>
  <c r="E110" i="5" s="1"/>
  <c r="E35" i="9" s="1"/>
  <c r="B81" i="5"/>
  <c r="C81" i="5"/>
  <c r="D81" i="5"/>
  <c r="E81" i="5"/>
  <c r="E111" i="5" s="1"/>
  <c r="E36" i="9" s="1"/>
  <c r="B82" i="5"/>
  <c r="C82" i="5"/>
  <c r="D82" i="5"/>
  <c r="E82" i="5"/>
  <c r="E112" i="5" s="1"/>
  <c r="E37" i="9" s="1"/>
  <c r="B83" i="5"/>
  <c r="C83" i="5"/>
  <c r="D83" i="5"/>
  <c r="E83" i="5"/>
  <c r="E113" i="5" s="1"/>
  <c r="B84" i="5"/>
  <c r="C84" i="5"/>
  <c r="D84" i="5"/>
  <c r="E84" i="5"/>
  <c r="E114" i="5" s="1"/>
  <c r="E39" i="9" s="1"/>
  <c r="B85" i="5"/>
  <c r="C85" i="5"/>
  <c r="D85" i="5"/>
  <c r="E85" i="5"/>
  <c r="E115" i="5" s="1"/>
  <c r="E40" i="9" s="1"/>
  <c r="B86" i="5"/>
  <c r="C86" i="5"/>
  <c r="D86" i="5"/>
  <c r="E86" i="5"/>
  <c r="E116" i="5" s="1"/>
  <c r="E41" i="9" s="1"/>
  <c r="B87" i="5"/>
  <c r="C87" i="5"/>
  <c r="D87" i="5"/>
  <c r="E87" i="5"/>
  <c r="E117" i="5" s="1"/>
  <c r="E42" i="9" s="1"/>
  <c r="B88" i="5"/>
  <c r="C88" i="5"/>
  <c r="D88" i="5"/>
  <c r="E88" i="5"/>
  <c r="E118" i="5" s="1"/>
  <c r="E43" i="9" s="1"/>
  <c r="B89" i="5"/>
  <c r="C89" i="5"/>
  <c r="D89" i="5"/>
  <c r="E89" i="5"/>
  <c r="E119" i="5" s="1"/>
  <c r="E44" i="9" s="1"/>
  <c r="B90" i="5"/>
  <c r="C90" i="5"/>
  <c r="D90" i="5"/>
  <c r="E90" i="5"/>
  <c r="E120" i="5" s="1"/>
  <c r="E45" i="9" s="1"/>
  <c r="B91" i="5"/>
  <c r="C91" i="5"/>
  <c r="D91" i="5"/>
  <c r="B92" i="5"/>
  <c r="C92" i="5"/>
  <c r="D92" i="5"/>
  <c r="E92" i="5"/>
  <c r="E122" i="5" s="1"/>
  <c r="E47" i="9" s="1"/>
  <c r="B93" i="5"/>
  <c r="C93" i="5"/>
  <c r="D93" i="5"/>
  <c r="E93" i="5"/>
  <c r="E123" i="5" s="1"/>
  <c r="E48" i="9" s="1"/>
  <c r="B94" i="5"/>
  <c r="C94" i="5"/>
  <c r="D94" i="5"/>
  <c r="E94" i="5"/>
  <c r="E124" i="5" s="1"/>
  <c r="E49" i="9" s="1"/>
  <c r="B95" i="5"/>
  <c r="C95" i="5"/>
  <c r="D95" i="5"/>
  <c r="E95" i="5"/>
  <c r="E125" i="5" s="1"/>
  <c r="E50" i="9" s="1"/>
  <c r="B96" i="5"/>
  <c r="C96" i="5"/>
  <c r="D96" i="5"/>
  <c r="E96" i="5"/>
  <c r="E126" i="5" s="1"/>
  <c r="E51" i="9" s="1"/>
  <c r="B97" i="5"/>
  <c r="C97" i="5"/>
  <c r="D97" i="5"/>
  <c r="E97" i="5"/>
  <c r="E127" i="5" s="1"/>
  <c r="E52" i="9" s="1"/>
  <c r="B98" i="5"/>
  <c r="C98" i="5"/>
  <c r="D98" i="5"/>
  <c r="E98" i="5"/>
  <c r="E128" i="5" s="1"/>
  <c r="E53" i="9" s="1"/>
  <c r="B99" i="5"/>
  <c r="C99" i="5"/>
  <c r="D99" i="5"/>
  <c r="E99" i="5"/>
  <c r="E129" i="5" s="1"/>
  <c r="E54" i="9" s="1"/>
  <c r="B100" i="5"/>
  <c r="C100" i="5"/>
  <c r="D100" i="5"/>
  <c r="E100" i="5"/>
  <c r="E130" i="5" s="1"/>
  <c r="E55" i="9" s="1"/>
  <c r="B101" i="5"/>
  <c r="C101" i="5"/>
  <c r="D101" i="5"/>
  <c r="E101" i="5"/>
  <c r="E131" i="5" s="1"/>
  <c r="E56" i="9" s="1"/>
  <c r="B102" i="5"/>
  <c r="C102" i="5"/>
  <c r="D102" i="5"/>
  <c r="E102" i="5"/>
  <c r="E132" i="5" s="1"/>
  <c r="E57" i="9" s="1"/>
  <c r="B103" i="5"/>
  <c r="C103" i="5"/>
  <c r="D103" i="5"/>
  <c r="E103" i="5"/>
  <c r="E133" i="5" s="1"/>
  <c r="E58" i="9" s="1"/>
  <c r="B104" i="5"/>
  <c r="C104" i="5"/>
  <c r="D104" i="5"/>
  <c r="E104" i="5"/>
  <c r="E134" i="5" s="1"/>
  <c r="E59" i="9" s="1"/>
  <c r="B105" i="5"/>
  <c r="C105" i="5"/>
  <c r="D105" i="5"/>
  <c r="E105" i="5"/>
  <c r="E135" i="5" s="1"/>
  <c r="E60" i="9" s="1"/>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E68" i="5"/>
  <c r="F66" i="5"/>
  <c r="D65" i="5"/>
  <c r="C64" i="5"/>
  <c r="F63" i="5"/>
  <c r="F15" i="9" s="1"/>
  <c r="E62" i="5"/>
  <c r="E61" i="5"/>
  <c r="D60" i="5"/>
  <c r="C59" i="5"/>
  <c r="C36" i="5"/>
  <c r="C46" i="5" s="1"/>
  <c r="E35" i="5"/>
  <c r="E44" i="5" s="1"/>
  <c r="D35" i="5"/>
  <c r="D44" i="5" s="1"/>
  <c r="F34" i="5"/>
  <c r="E34" i="5"/>
  <c r="D34" i="5"/>
  <c r="C34" i="5"/>
  <c r="C38" i="5"/>
  <c r="C49" i="5" s="1"/>
  <c r="D38" i="5"/>
  <c r="D49" i="5" s="1"/>
  <c r="E38" i="5"/>
  <c r="E49" i="5" s="1"/>
  <c r="F38" i="5"/>
  <c r="F49" i="5" s="1"/>
  <c r="F37" i="5"/>
  <c r="F47" i="5" s="1"/>
  <c r="E37" i="5"/>
  <c r="E47" i="5" s="1"/>
  <c r="C37" i="5"/>
  <c r="C47" i="5" s="1"/>
  <c r="F36" i="5"/>
  <c r="F46" i="5" s="1"/>
  <c r="E36" i="5"/>
  <c r="E46" i="5" s="1"/>
  <c r="D36" i="5"/>
  <c r="D46" i="5" s="1"/>
  <c r="F35" i="5"/>
  <c r="F44" i="5" s="1"/>
  <c r="C44" i="5"/>
  <c r="F27" i="5"/>
  <c r="F28" i="5" s="1"/>
  <c r="F156" i="5" s="1"/>
  <c r="F159" i="5" s="1" a="1"/>
  <c r="F159" i="5" s="1"/>
  <c r="E27" i="5"/>
  <c r="E28" i="5" s="1"/>
  <c r="E156" i="5" s="1"/>
  <c r="E159" i="5" s="1" a="1"/>
  <c r="E159" i="5" s="1"/>
  <c r="C27" i="5"/>
  <c r="C28" i="5" s="1"/>
  <c r="C156" i="5" s="1"/>
  <c r="C159" i="5" s="1" a="1"/>
  <c r="C159" i="5" s="1"/>
  <c r="C14" i="9"/>
  <c r="D14" i="9"/>
  <c r="E14" i="9"/>
  <c r="F14" i="9"/>
  <c r="C11" i="9"/>
  <c r="D11" i="9"/>
  <c r="E11" i="9"/>
  <c r="F11" i="9"/>
  <c r="C141" i="5" l="1" a="1"/>
  <c r="C141" i="5" s="1"/>
  <c r="F141" i="5" a="1"/>
  <c r="F141" i="5" s="1"/>
  <c r="F139" i="5"/>
  <c r="F140" i="5" a="1"/>
  <c r="F140" i="5" s="1"/>
  <c r="F162" i="5" s="1"/>
  <c r="F164" i="5" s="1"/>
  <c r="F51" i="5"/>
  <c r="F43" i="5"/>
  <c r="F50" i="5" s="1"/>
  <c r="E43" i="5"/>
  <c r="E50" i="5" s="1"/>
  <c r="E51" i="5"/>
  <c r="E52" i="5" s="1"/>
  <c r="D51" i="5"/>
  <c r="D43" i="5"/>
  <c r="D50" i="5" s="1"/>
  <c r="C51" i="5"/>
  <c r="C43" i="5"/>
  <c r="C50" i="5" s="1"/>
  <c r="E38" i="9"/>
  <c r="F157" i="5"/>
  <c r="C163" i="5"/>
  <c r="E163" i="5"/>
  <c r="E164" i="5" s="1"/>
  <c r="D163" i="5"/>
  <c r="C110" i="5"/>
  <c r="C35" i="9" s="1"/>
  <c r="D117" i="5"/>
  <c r="D42" i="9" s="1"/>
  <c r="B124" i="5"/>
  <c r="B49" i="9" s="1"/>
  <c r="B126" i="5"/>
  <c r="B51" i="9" s="1"/>
  <c r="C128" i="5"/>
  <c r="C53" i="9" s="1"/>
  <c r="C129" i="5"/>
  <c r="C54" i="9" s="1"/>
  <c r="C130" i="5"/>
  <c r="C55" i="9" s="1"/>
  <c r="B134" i="5"/>
  <c r="B59" i="9" s="1"/>
  <c r="B111" i="5"/>
  <c r="B36" i="9" s="1"/>
  <c r="D111" i="5"/>
  <c r="D36" i="9" s="1"/>
  <c r="C120" i="5"/>
  <c r="C45" i="9" s="1"/>
  <c r="C122" i="5"/>
  <c r="C47" i="9" s="1"/>
  <c r="C123" i="5"/>
  <c r="C48" i="9" s="1"/>
  <c r="C125" i="5"/>
  <c r="C50" i="9" s="1"/>
  <c r="D126" i="5"/>
  <c r="D51" i="9" s="1"/>
  <c r="B128" i="5"/>
  <c r="B53" i="9" s="1"/>
  <c r="B130" i="5"/>
  <c r="B55" i="9" s="1"/>
  <c r="B131" i="5"/>
  <c r="B56" i="9" s="1"/>
  <c r="C132" i="5"/>
  <c r="C57" i="9" s="1"/>
  <c r="C133" i="5"/>
  <c r="C58" i="9" s="1"/>
  <c r="D134" i="5"/>
  <c r="D59" i="9" s="1"/>
  <c r="D135" i="5"/>
  <c r="D60" i="9" s="1"/>
  <c r="C109" i="5"/>
  <c r="C34" i="9" s="1"/>
  <c r="B117" i="5"/>
  <c r="B42" i="9" s="1"/>
  <c r="B120" i="5"/>
  <c r="B45" i="9" s="1"/>
  <c r="D120" i="5"/>
  <c r="D45" i="9" s="1"/>
  <c r="C121" i="5"/>
  <c r="C46" i="9" s="1"/>
  <c r="D124" i="5"/>
  <c r="D49" i="9" s="1"/>
  <c r="D125" i="5"/>
  <c r="D50" i="9" s="1"/>
  <c r="D127" i="5"/>
  <c r="D52" i="9" s="1"/>
  <c r="D128" i="5"/>
  <c r="D53" i="9" s="1"/>
  <c r="B129" i="5"/>
  <c r="B54" i="9" s="1"/>
  <c r="D131" i="5"/>
  <c r="D56" i="9" s="1"/>
  <c r="B132" i="5"/>
  <c r="B57" i="9" s="1"/>
  <c r="D132" i="5"/>
  <c r="D57" i="9" s="1"/>
  <c r="D109" i="5"/>
  <c r="D34" i="9" s="1"/>
  <c r="D112" i="5"/>
  <c r="D37" i="9" s="1"/>
  <c r="C127" i="5"/>
  <c r="C52" i="9" s="1"/>
  <c r="D130" i="5"/>
  <c r="D55" i="9" s="1"/>
  <c r="D133" i="5"/>
  <c r="D58" i="9" s="1"/>
  <c r="D110" i="5"/>
  <c r="D35" i="9" s="1"/>
  <c r="C111" i="5"/>
  <c r="C36" i="9" s="1"/>
  <c r="C112" i="5"/>
  <c r="C37" i="9" s="1"/>
  <c r="B113" i="5"/>
  <c r="D113" i="5"/>
  <c r="B114" i="5"/>
  <c r="B39" i="9" s="1"/>
  <c r="C114" i="5"/>
  <c r="C39" i="9" s="1"/>
  <c r="D114" i="5"/>
  <c r="D39" i="9" s="1"/>
  <c r="B115" i="5"/>
  <c r="B40" i="9" s="1"/>
  <c r="C115" i="5"/>
  <c r="C40" i="9" s="1"/>
  <c r="D115" i="5"/>
  <c r="D40" i="9" s="1"/>
  <c r="B118" i="5"/>
  <c r="B43" i="9" s="1"/>
  <c r="B119" i="5"/>
  <c r="B44" i="9" s="1"/>
  <c r="B121" i="5"/>
  <c r="B46" i="9" s="1"/>
  <c r="B122" i="5"/>
  <c r="B47" i="9" s="1"/>
  <c r="D122" i="5"/>
  <c r="D47" i="9" s="1"/>
  <c r="D123" i="5"/>
  <c r="D48" i="9" s="1"/>
  <c r="C124" i="5"/>
  <c r="C49" i="9" s="1"/>
  <c r="C126" i="5"/>
  <c r="C51" i="9" s="1"/>
  <c r="B127" i="5"/>
  <c r="B52" i="9" s="1"/>
  <c r="D129" i="5"/>
  <c r="D54" i="9" s="1"/>
  <c r="C134" i="5"/>
  <c r="C59" i="9" s="1"/>
  <c r="C135" i="5"/>
  <c r="C60" i="9" s="1"/>
  <c r="C119" i="5"/>
  <c r="C44" i="9" s="1"/>
  <c r="B109" i="5"/>
  <c r="B112" i="5"/>
  <c r="B37" i="9" s="1"/>
  <c r="C113" i="5"/>
  <c r="C117" i="5"/>
  <c r="C42" i="9" s="1"/>
  <c r="D118" i="5"/>
  <c r="D43" i="9" s="1"/>
  <c r="D119" i="5"/>
  <c r="D44" i="9" s="1"/>
  <c r="B123" i="5"/>
  <c r="B48" i="9" s="1"/>
  <c r="B125" i="5"/>
  <c r="B50" i="9" s="1"/>
  <c r="C131" i="5"/>
  <c r="C56" i="9" s="1"/>
  <c r="B133" i="5"/>
  <c r="B58" i="9" s="1"/>
  <c r="B135" i="5"/>
  <c r="B60" i="9" s="1"/>
  <c r="B110" i="5"/>
  <c r="B35" i="9" s="1"/>
  <c r="B116" i="5"/>
  <c r="B41" i="9" s="1"/>
  <c r="C116" i="5"/>
  <c r="C41" i="9" s="1"/>
  <c r="D116" i="5"/>
  <c r="D41" i="9" s="1"/>
  <c r="C118" i="5"/>
  <c r="C43" i="9" s="1"/>
  <c r="D121" i="5"/>
  <c r="D46" i="9" s="1"/>
  <c r="C22" i="9"/>
  <c r="F13" i="9"/>
  <c r="E13" i="9"/>
  <c r="D13" i="9"/>
  <c r="C13" i="9"/>
  <c r="B34" i="9" l="1"/>
  <c r="C140" i="5" a="1"/>
  <c r="C140" i="5" s="1"/>
  <c r="C162" i="5" s="1"/>
  <c r="C164" i="5" s="1"/>
  <c r="F52" i="5"/>
  <c r="F53" i="5" s="1"/>
  <c r="F54" i="5" s="1"/>
  <c r="F12" i="9" s="1"/>
  <c r="C52" i="5"/>
  <c r="C53" i="5" s="1"/>
  <c r="C54" i="5" s="1"/>
  <c r="C12" i="9" s="1"/>
  <c r="D52" i="5"/>
  <c r="D53" i="5" s="1"/>
  <c r="D54" i="5" s="1"/>
  <c r="E53" i="5"/>
  <c r="E54" i="5" s="1"/>
  <c r="D164" i="5"/>
  <c r="C157" i="5"/>
  <c r="B38" i="9"/>
  <c r="E157" i="5"/>
  <c r="D38" i="9"/>
  <c r="D157" i="5"/>
  <c r="C38" i="9"/>
  <c r="F23" i="9"/>
  <c r="D23" i="9"/>
  <c r="C23" i="9"/>
  <c r="E23" i="9"/>
  <c r="C28" i="9" l="1"/>
  <c r="F60" i="9"/>
  <c r="F59" i="9"/>
  <c r="F58" i="9"/>
  <c r="F54" i="9"/>
  <c r="F44" i="9"/>
  <c r="F42" i="9"/>
  <c r="F41" i="9"/>
  <c r="F40" i="9"/>
  <c r="F39" i="9"/>
  <c r="F38" i="9"/>
  <c r="F37" i="9"/>
  <c r="F36" i="9"/>
  <c r="F35" i="9"/>
  <c r="F57" i="9"/>
  <c r="F56" i="9"/>
  <c r="F53" i="9"/>
  <c r="F52" i="9"/>
  <c r="F51" i="9"/>
  <c r="F50" i="9"/>
  <c r="F47" i="9"/>
  <c r="F46" i="9"/>
  <c r="F55" i="9"/>
  <c r="F49" i="9"/>
  <c r="F48" i="9"/>
  <c r="F45" i="9"/>
  <c r="F43" i="9"/>
  <c r="F34" i="9"/>
  <c r="C69" i="9"/>
  <c r="B84" i="9"/>
  <c r="G46" i="9" s="1"/>
  <c r="B85" i="9"/>
  <c r="G47" i="9" s="1"/>
  <c r="B86" i="9"/>
  <c r="G48" i="9" s="1"/>
  <c r="B89" i="9"/>
  <c r="G51" i="9" s="1"/>
  <c r="B96" i="9"/>
  <c r="G58" i="9" s="1"/>
  <c r="C73" i="9"/>
  <c r="B83" i="9"/>
  <c r="G45" i="9" s="1"/>
  <c r="C70" i="9"/>
  <c r="C83" i="9"/>
  <c r="C86" i="9"/>
  <c r="C88" i="9"/>
  <c r="C90" i="9"/>
  <c r="C92" i="9"/>
  <c r="C95" i="9"/>
  <c r="C97" i="9"/>
  <c r="B68" i="9"/>
  <c r="B70" i="9"/>
  <c r="B73" i="9"/>
  <c r="G35" i="9" s="1"/>
  <c r="B75" i="9"/>
  <c r="G37" i="9" s="1"/>
  <c r="B78" i="9"/>
  <c r="G40" i="9" s="1"/>
  <c r="B81" i="9"/>
  <c r="G43" i="9" s="1"/>
  <c r="B82" i="9"/>
  <c r="G44" i="9" s="1"/>
  <c r="B90" i="9"/>
  <c r="G52" i="9" s="1"/>
  <c r="B94" i="9"/>
  <c r="G56" i="9" s="1"/>
  <c r="B98" i="9"/>
  <c r="G60" i="9" s="1"/>
  <c r="C72" i="9"/>
  <c r="C113" i="9" s="1"/>
  <c r="B91" i="9"/>
  <c r="G53" i="9" s="1"/>
  <c r="B97" i="9"/>
  <c r="G59" i="9" s="1"/>
  <c r="C71" i="9"/>
  <c r="C76" i="9"/>
  <c r="C78" i="9"/>
  <c r="C68" i="9"/>
  <c r="B69" i="9"/>
  <c r="B76" i="9"/>
  <c r="G38" i="9" s="1"/>
  <c r="B79" i="9"/>
  <c r="G41" i="9" s="1"/>
  <c r="B88" i="9"/>
  <c r="G50" i="9" s="1"/>
  <c r="B93" i="9"/>
  <c r="G55" i="9" s="1"/>
  <c r="B95" i="9"/>
  <c r="G57" i="9" s="1"/>
  <c r="C75" i="9"/>
  <c r="C74" i="9"/>
  <c r="C77" i="9"/>
  <c r="C79" i="9"/>
  <c r="C80" i="9"/>
  <c r="C81" i="9"/>
  <c r="C82" i="9"/>
  <c r="C84" i="9"/>
  <c r="C85" i="9"/>
  <c r="C87" i="9"/>
  <c r="C89" i="9"/>
  <c r="C91" i="9"/>
  <c r="C93" i="9"/>
  <c r="C94" i="9"/>
  <c r="C96" i="9"/>
  <c r="C98" i="9"/>
  <c r="B71" i="9"/>
  <c r="B72" i="9"/>
  <c r="G34" i="9" s="1"/>
  <c r="B74" i="9"/>
  <c r="G36" i="9" s="1"/>
  <c r="B77" i="9"/>
  <c r="G39" i="9" s="1"/>
  <c r="B80" i="9"/>
  <c r="G42" i="9" s="1"/>
  <c r="B87" i="9"/>
  <c r="G49" i="9" s="1"/>
  <c r="B92" i="9"/>
  <c r="G54" i="9" s="1"/>
  <c r="C27" i="9"/>
  <c r="C115" i="9" l="1" a="1"/>
  <c r="C115" i="9" s="1"/>
  <c r="C114" i="9" a="1"/>
  <c r="C114" i="9" s="1"/>
  <c r="C112"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<sst xmlns="http://schemas.openxmlformats.org/spreadsheetml/2006/main" count="588" uniqueCount="345">
  <si>
    <t>Field</t>
  </si>
  <si>
    <t>Unit</t>
  </si>
  <si>
    <t>Asset_ID</t>
  </si>
  <si>
    <t>—</t>
  </si>
  <si>
    <t>Unique identifier per asset</t>
  </si>
  <si>
    <t>Asset_Name</t>
  </si>
  <si>
    <t>Postal_Code</t>
  </si>
  <si>
    <t>text</t>
  </si>
  <si>
    <t>Country</t>
  </si>
  <si>
    <t>Property_Type</t>
  </si>
  <si>
    <t>Reporting_Year</t>
  </si>
  <si>
    <t>yyyy</t>
  </si>
  <si>
    <t>GIA</t>
  </si>
  <si>
    <t>m²</t>
  </si>
  <si>
    <t>Elec_Grid</t>
  </si>
  <si>
    <t>kWh/yr</t>
  </si>
  <si>
    <t>Gas</t>
  </si>
  <si>
    <t>Oil</t>
  </si>
  <si>
    <t>District_Heating</t>
  </si>
  <si>
    <t>District_Cooling</t>
  </si>
  <si>
    <t>Renew_Consumed</t>
  </si>
  <si>
    <t>Renew_Exported</t>
  </si>
  <si>
    <t>%</t>
  </si>
  <si>
    <t>Calculation</t>
  </si>
  <si>
    <t>Formula</t>
  </si>
  <si>
    <t>Notes</t>
  </si>
  <si>
    <t>Total_Energy</t>
  </si>
  <si>
    <t>EUI</t>
  </si>
  <si>
    <t>kWh/m²/yr</t>
  </si>
  <si>
    <t>Total_Energy / GIA</t>
  </si>
  <si>
    <t>kgCO2e/kWh</t>
  </si>
  <si>
    <t>CO2_Elec</t>
  </si>
  <si>
    <t>kgCO2e/yr</t>
  </si>
  <si>
    <t>CO2_Gas</t>
  </si>
  <si>
    <t>CO2_Oil</t>
  </si>
  <si>
    <t>CO2_DH</t>
  </si>
  <si>
    <t>CO2_DC</t>
  </si>
  <si>
    <t>CO2_Renew</t>
  </si>
  <si>
    <t>Raw_Export_Credit</t>
  </si>
  <si>
    <t>Grid_Export_Credit</t>
  </si>
  <si>
    <t>Net_CO2</t>
  </si>
  <si>
    <t>Carbon_Intensity</t>
  </si>
  <si>
    <t>kgCO2e/m²/yr</t>
  </si>
  <si>
    <t>Step</t>
  </si>
  <si>
    <t>Action</t>
  </si>
  <si>
    <t>Project the asset's energy and carbon intensity forward from the reporting year to 2050, then compare against the pathway to find the first year the asset exceeds it.</t>
  </si>
  <si>
    <t>Assumption</t>
  </si>
  <si>
    <t>year</t>
  </si>
  <si>
    <t>EUI_Misalignment_Year</t>
  </si>
  <si>
    <t>Metric</t>
  </si>
  <si>
    <t>Portfolio_EUI</t>
  </si>
  <si>
    <t>Portfolio_Carbon_Intensity</t>
  </si>
  <si>
    <t>SUMMARY OF KEY FORMULAS</t>
  </si>
  <si>
    <t>Total Energy</t>
  </si>
  <si>
    <t>Grid export credit</t>
  </si>
  <si>
    <t>Carbon Intensity</t>
  </si>
  <si>
    <t>Mixed-use pathway</t>
  </si>
  <si>
    <t>REQUIRED REFERENCE DATA FILES</t>
  </si>
  <si>
    <t>File</t>
  </si>
  <si>
    <t>Contents</t>
  </si>
  <si>
    <t>Postal Code Lookup Table</t>
  </si>
  <si>
    <t>Maps postal codes to country/region pathway identifier</t>
  </si>
  <si>
    <t>CRREM Pathways Dataset</t>
  </si>
  <si>
    <t>Emission Factors Dataset</t>
  </si>
  <si>
    <t>United Kingdom</t>
  </si>
  <si>
    <t>Office</t>
  </si>
  <si>
    <t>Mixed Use</t>
  </si>
  <si>
    <t>n/a</t>
  </si>
  <si>
    <t>EF_Electricity (2024)</t>
  </si>
  <si>
    <t>EF_Gas</t>
  </si>
  <si>
    <t>Asset 1</t>
  </si>
  <si>
    <t>Asset 2</t>
  </si>
  <si>
    <t>Asset 3</t>
  </si>
  <si>
    <t>Asset 4</t>
  </si>
  <si>
    <t>Year</t>
  </si>
  <si>
    <t>Hong Kong</t>
  </si>
  <si>
    <t>NYSTc</t>
  </si>
  <si>
    <t>UK</t>
  </si>
  <si>
    <t>kWh</t>
  </si>
  <si>
    <t>Asset 2: HK Shopping Mall</t>
  </si>
  <si>
    <t>Asset 3: Mixed-Use London</t>
  </si>
  <si>
    <t>EF_On-site Renewables</t>
  </si>
  <si>
    <t>Elec_Grid × EF_Electricity</t>
  </si>
  <si>
    <t>Blue = user input   |   Black = calculated from formula   |   Yellow highlight = key output   |   Grey = notes</t>
  </si>
  <si>
    <t>Asset 1: Office Manhattan</t>
  </si>
  <si>
    <t>Notes / Validation</t>
  </si>
  <si>
    <t>USA (New York)</t>
  </si>
  <si>
    <t>Must match CRREM property type exactly</t>
  </si>
  <si>
    <t>MU_Breakdown</t>
  </si>
  <si>
    <t>% GIA</t>
  </si>
  <si>
    <t>Only for Mixed Use assets (Step 5.2)</t>
  </si>
  <si>
    <t>Must exist in Pathways &amp; EF datasets</t>
  </si>
  <si>
    <t>&gt; 0; whole-building; excl. indoor parking</t>
  </si>
  <si>
    <t>Biomass_Other</t>
  </si>
  <si>
    <t>On-site PV generated &amp; consumed on-site. EF=0. Counts toward total energy (building is still consuming it).</t>
  </si>
  <si>
    <t>Exported to grid. NOT in total energy. Used only for grid export credit in Step 4 (capped at CO2_Elec).</t>
  </si>
  <si>
    <t>EF_District_Heating (DH)</t>
  </si>
  <si>
    <t>EF_District_Cooling (DC)</t>
  </si>
  <si>
    <t>Asset 2 only. Representative EF for CLP/HEC-powered chiller plant in HK ≈ 0.38 kgCO2e/kWh. Replace with site-specific EF from utility.</t>
  </si>
  <si>
    <t>Always 0 by CRREM definition. On-site RE has zero carbon impact. Still counted in total energy (EUI).</t>
  </si>
  <si>
    <t>65%×Office_UK + 35%×Retail_HS_UK. Per CRREM Spec Step 5.2: blended pathway recalculated each year t. Formula: =0.65*UK.OFF(t)+0.35*UK.RHS(t).</t>
  </si>
  <si>
    <t>Oil × EF_Oil (none in this example)</t>
  </si>
  <si>
    <t>District Heating × EF_DH. Asset 1 only.</t>
  </si>
  <si>
    <t>District Cooling × EF_DC. Asset 2 only.</t>
  </si>
  <si>
    <t>CO2_Biomass_Other</t>
  </si>
  <si>
    <t>Biomass/Other (all zero here)</t>
  </si>
  <si>
    <t>EF = 0 always. Included for audit trail.</t>
  </si>
  <si>
    <t>Total_CO2_gross</t>
  </si>
  <si>
    <t>Renew_Exported × EF_Electricity (uncapped). Assets 1+2 = 0 (no export).</t>
  </si>
  <si>
    <t>CAPPED at CO2_Elec: MIN(Raw_Credit, CO2_Elec). Cannot offset gas/DH/DC emissions with solar export.</t>
  </si>
  <si>
    <t>Total_CO2_gross − Grid_Export_Credit</t>
  </si>
  <si>
    <t>Pacific Plaza Mall</t>
  </si>
  <si>
    <t>Northgate Quarter</t>
  </si>
  <si>
    <t>Midtown Tower</t>
  </si>
  <si>
    <t>Asset 2: gas for hot water (food court) &amp; backup heating. Assets 1+4: no gas.</t>
  </si>
  <si>
    <t>Gas × EF_Gas. Assets 1+4 = 0 (no gas). Assets 2+3 have gas.</t>
  </si>
  <si>
    <t>GAV</t>
  </si>
  <si>
    <t>STEP 1 Asset-Level Data Collection</t>
  </si>
  <si>
    <t>STEP 2 Whole-Building Energy &amp; Energy Use Intensity (EUI)</t>
  </si>
  <si>
    <t>STEP 4 Carbon Intensity Calculation</t>
  </si>
  <si>
    <t>STEP 5 Pathway Selection</t>
  </si>
  <si>
    <t>STEP 6 Determining the CRREM Misalignment Year</t>
  </si>
  <si>
    <t>Year-by-year energy + carbon budgets by country, property type</t>
  </si>
  <si>
    <t>A-001</t>
  </si>
  <si>
    <t>A-002</t>
  </si>
  <si>
    <t>A-003</t>
  </si>
  <si>
    <t>A-004</t>
  </si>
  <si>
    <t>USD</t>
  </si>
  <si>
    <t>Optional. Gross Asset Value in consistent currency. Not used in asset-level intensity outputs.</t>
  </si>
  <si>
    <t>NW1 8NX</t>
  </si>
  <si>
    <t>From Step 5. Asset 3: blended CRREM Pathway (65%×Office_UK + 35%×Retail_HS_UK). All others: direct CRREM Pathway lookup.</t>
  </si>
  <si>
    <t>Whole-building grid electricity (landlord + tenant). Asset 4: electricity consumed by heat pump compressor NOT the heat output.</t>
  </si>
  <si>
    <t>Asset 1 only. NOTE: Use location-specific EF from utility provider (e.g. Con Edison Steam NYC). EFs for district systems vary significantly the default Gas EF is a placeholder only.</t>
  </si>
  <si>
    <t>Asset 2 only: large refrigerated mall. Use CLP/HEC site-specific chiller EF 0.38 kgCO2e/kWh used here as representative value.</t>
  </si>
  <si>
    <t>KEY OUTPUT ➜ Total_Energy / GIA. Compare against CRREM EUI Pathway (Step 5).</t>
  </si>
  <si>
    <t>Total_GIA</t>
  </si>
  <si>
    <t>2.1 Compute GIA Weights</t>
  </si>
  <si>
    <t>GIA_Weight_j</t>
  </si>
  <si>
    <t>2.2 Aggregate Portfolio Performance Metrics</t>
  </si>
  <si>
    <t>Portfolio_EUI_Pathway(t)</t>
  </si>
  <si>
    <t>Applies to</t>
  </si>
  <si>
    <t>Behavior</t>
  </si>
  <si>
    <t>Carbon</t>
  </si>
  <si>
    <t>Energy</t>
  </si>
  <si>
    <t>Portfolio_EUI_Misalignment_Year</t>
  </si>
  <si>
    <t>STEP 1 Assemble Asset-Level Results</t>
  </si>
  <si>
    <t>STEP 2 GIA-Weighted Portfolio Aggregation</t>
  </si>
  <si>
    <t>GIA-weighted portfolio aggregation per CRREM PF Spec. Inputs taken from Examples Asset-level sheet.</t>
  </si>
  <si>
    <t>Blue = input from asset-level   |   Black = calculated from formula   |   Yellow highlight = key output   |   Grey = notes</t>
  </si>
  <si>
    <t>From asset-level Step 1</t>
  </si>
  <si>
    <t>From asset-level Step 1. Weighting denominator.</t>
  </si>
  <si>
    <t>KEY OUTPUT from asset-level Step 4</t>
  </si>
  <si>
    <t>KEY OUTPUT from asset-level Step 2</t>
  </si>
  <si>
    <t>Optional. Not used in GIA-weighted aggregation.</t>
  </si>
  <si>
    <t>SUM of all asset GIAs. Denominator for all weights.</t>
  </si>
  <si>
    <t>GIA_j / Total_GIA. Must sum to 100%.</t>
  </si>
  <si>
    <t>Portfolio Value</t>
  </si>
  <si>
    <t>KEY OUTPUT. = SUM(GIA_Weight_j × CI_j). Equivalent to SUM(Net_CO2_j) / Total_GIA.</t>
  </si>
  <si>
    <t>KEY OUTPUT. = SUM(GIA_Weight_j × EUI_j). Equivalent to SUM(Total_Energy_j) / Total_GIA.</t>
  </si>
  <si>
    <t>Portfolio_EUI_Pathway (2024)</t>
  </si>
  <si>
    <t>Portfolio EUI Pathway (kWh/m²/yr)</t>
  </si>
  <si>
    <t>Grid Region</t>
  </si>
  <si>
    <t>HK</t>
  </si>
  <si>
    <t>Fuel</t>
  </si>
  <si>
    <t>EF (kgCO2e/kWh)</t>
  </si>
  <si>
    <t>Heat/Steam (District)</t>
  </si>
  <si>
    <t>Example Input  |  CRREM Pathways &amp; Emission Factors  |  4 Assets (Subset)</t>
  </si>
  <si>
    <t>USA</t>
  </si>
  <si>
    <t>Property Type</t>
  </si>
  <si>
    <t>SECTION 4  Fixed Combustion Emission Factors (constant over time)</t>
  </si>
  <si>
    <t>Gas (Natural)</t>
  </si>
  <si>
    <t>Oil (Heating)</t>
  </si>
  <si>
    <t>On-site Renewables</t>
  </si>
  <si>
    <t>⚠ Data normalization: CRREM does not currently provide official guidance on normalizing energy data for vacancy, partial-year reporting, or other data gaps. The legacy CRREM Excel tool addressed missing monthly data by linear extrapolation. We recommend performing any normalization or gap-filling prior to this assessment and transparently documenting the methodology applied.</t>
  </si>
  <si>
    <t>HDD/CDD Projections Dataset [Optional]</t>
  </si>
  <si>
    <t>CRREM WORKED EXAMPLES 4 Assets  |  Assessment Year: 2024  |</t>
  </si>
  <si>
    <t>CRREM WORKED EXAMPLES  |  Portfolio Aggregation  |  4 Assets  |</t>
  </si>
  <si>
    <t>Grid Electricity EF Trajectory (kgCO2e/kWh)</t>
  </si>
  <si>
    <t>NYSTc (Asset 1)</t>
  </si>
  <si>
    <t>HK (Asset 2)</t>
  </si>
  <si>
    <t>UK (Asset 3)</t>
  </si>
  <si>
    <t>Projected Carbon Intensity (kgCO2e/m²/yr) under flat energy demand + declining grid EF</t>
  </si>
  <si>
    <t>Assumptions: Energy demand stays flat (no retrofit, no climate change impact assumed). Only grid electricity EF changes year over year. All other EFs (gas, oil, biomass) remain constant. This table shows how the declining grid EF alone reduces Carbon Intensity over time, even without any building-level intervention. Asset 1 also uses the DH legacy fallback EF which declines in proportion to the grid EF.</t>
  </si>
  <si>
    <t>Asset 1 CI</t>
  </si>
  <si>
    <t>Asset 2 CI</t>
  </si>
  <si>
    <t>Asset 3 CI</t>
  </si>
  <si>
    <t>Asset 4 CI</t>
  </si>
  <si>
    <t>EUI_Pathway (2024)</t>
  </si>
  <si>
    <t>STEP 3 Build the Weighted Portfolio CRREM Pathway</t>
  </si>
  <si>
    <t>3.1 GIA-Weighted Portfolio CRREM Pathway (year by year, 2020 to 2050)</t>
  </si>
  <si>
    <t>STEP 4 Compare Portfolio Performance Against the Pathway</t>
  </si>
  <si>
    <t>Declines year by year (pre-computed in Step 3.1)</t>
  </si>
  <si>
    <t>Weighted pathway is a full time series. Declines annually. From Step 3.1.</t>
  </si>
  <si>
    <t>Same for EUI. Full time series from Step 3.1.</t>
  </si>
  <si>
    <t>4.2 Finding the Portfolio CRREM Misalignment Year</t>
  </si>
  <si>
    <t>From Step 3.1, year 2024. Portfolio EUI (177.52) &lt; this value = currently aligned for EUI.</t>
  </si>
  <si>
    <t>From asset-level Step 5. Full time series required for Step 3.1.</t>
  </si>
  <si>
    <t>Build the year-by-year GIA-weighted Portfolio CRREM Pathway by applying the same GIA weights from Step 2.1 to each asset's individual CRREM Pathway, separately for every year from 2020 to 2050.</t>
  </si>
  <si>
    <t>Key insight: The portfolio pathway reflects the composition of the portfolio. If the portfolio is 80% office and 20% retail by floor area, the pathway will be dominated by office pathways. Changing the portfolio composition (buying or selling assets) changes the pathway.</t>
  </si>
  <si>
    <t>CRREM_Region</t>
  </si>
  <si>
    <t>CRREM region from asset-level Step 5. Equals Country code for most countries; sub-national code for USA/CAN/AUS (resolved via Postal Code Lookup).</t>
  </si>
  <si>
    <t>CO2_Misalignment_Year</t>
  </si>
  <si>
    <t>Region</t>
  </si>
  <si>
    <t>Region Code</t>
  </si>
  <si>
    <t>Abbreviation</t>
  </si>
  <si>
    <t>Code</t>
  </si>
  <si>
    <t>Europe</t>
  </si>
  <si>
    <t>kgCO2/sqm</t>
  </si>
  <si>
    <t>OFF</t>
  </si>
  <si>
    <t>Retail High Street</t>
  </si>
  <si>
    <t>RHS</t>
  </si>
  <si>
    <t>Shopping Center</t>
  </si>
  <si>
    <t>RSM</t>
  </si>
  <si>
    <t>Distribution Warehouse Warm</t>
  </si>
  <si>
    <t>DWW</t>
  </si>
  <si>
    <t>UK.OFF.CO2</t>
  </si>
  <si>
    <t>UK.RHS.CO2</t>
  </si>
  <si>
    <t>Asia-Pacific</t>
  </si>
  <si>
    <t>HK.RSM.CO2</t>
  </si>
  <si>
    <t>North America</t>
  </si>
  <si>
    <t>NYSTc_Mixed mild_4A</t>
  </si>
  <si>
    <t>NYSTc_Mixed mild_4A.OFF.CO2</t>
  </si>
  <si>
    <t>kWh/sqm</t>
  </si>
  <si>
    <t>UK.OFF.EUI</t>
  </si>
  <si>
    <t>UK.RHS.EUI</t>
  </si>
  <si>
    <t>HK.RSM.EUI</t>
  </si>
  <si>
    <t>NYSTc_Mixed mild_4A.OFF.EUI</t>
  </si>
  <si>
    <t>CO2 Pathway: Office, UK (2024)</t>
  </si>
  <si>
    <t>CO2 Pathway BLENDED, Mixed-Use UK (2024)</t>
  </si>
  <si>
    <t>KEY OUTPUT ➜ Net_CO2 / GIA. Compare against CRREM CO2 Pathway (Step 6).</t>
  </si>
  <si>
    <t>CO2_Pathway (2024)</t>
  </si>
  <si>
    <t>Portfolio_CO2_Pathway(t)</t>
  </si>
  <si>
    <t>Portfolio_CO2_Misalignment_Year</t>
  </si>
  <si>
    <t>Portfolio CO2 Pathway (kgCO2e/m²/yr)</t>
  </si>
  <si>
    <t>Asset 1 CO2</t>
  </si>
  <si>
    <t>Asset 2 CO2</t>
  </si>
  <si>
    <t>Asset 3 CO2</t>
  </si>
  <si>
    <t>Asset 4 CO2</t>
  </si>
  <si>
    <t>Note: Columns D-G show individual asset CO2 pathways for transparency. The Portfolio CO2/EUI Pathways (B, C) are GIA-weighted averages of all four assets' pathways (Step 3.1). Individual EUI pathways are omitted for brevity but follow the same weighting logic.</t>
  </si>
  <si>
    <t>Portfolio_CO2_Pathway (2024)</t>
  </si>
  <si>
    <t>From Step 3.1, year 2024. Portfolio CI (66.08) &lt; this value = currently aligned for CO2.</t>
  </si>
  <si>
    <t>Store as text. Only required for countries with sub-national CRREM regions (USA, CAN, AUS). Used to resolve the CRREM_Region via Postal Code Lookup (Step 5.1). For other countries (e.g. HK, UK), this field is optional.</t>
  </si>
  <si>
    <t>In a full tool: ~50-80 rows (one per grid region worldwide). Grid EFs decline annually as electricity grids decarbonize. Non-electric EFs (gas, oil) are constant and stored in Section 4.</t>
  </si>
  <si>
    <t>CO2 Pathway: Office, NYSTc_Mixed mild_4A (2024)</t>
  </si>
  <si>
    <t>CO2 Pathway: Shopping Center, HK (2024)</t>
  </si>
  <si>
    <t>EUI Pathway: Office, NYSTc_Mixed mild_4A (2024)</t>
  </si>
  <si>
    <t>EUI Pathway: Shopping Center, HK (2024)</t>
  </si>
  <si>
    <t>65% Office / 35% Retail High Street</t>
  </si>
  <si>
    <t>INTEGRATION GUIDE  How to use the CRREM Pathway sheets with this tool</t>
  </si>
  <si>
    <t>Available Pathway sheets</t>
  </si>
  <si>
    <t>Choose the right sheet pair</t>
  </si>
  <si>
    <t>Look up pathways by Code</t>
  </si>
  <si>
    <t>Match CRREM_Region to Region Code</t>
  </si>
  <si>
    <t>Wire formulas to pathway sheets</t>
  </si>
  <si>
    <t>AI agent / script integration</t>
  </si>
  <si>
    <t>SECTION 1  Grid Electricity Emission Factors (kgCO2e/kWh) — row per grid region</t>
  </si>
  <si>
    <t>From 'Example Input' grid EF columns, 2024 row. Grid decarbonizes annually — use Reporting_Year column in Step 6 forward projection.</t>
  </si>
  <si>
    <t>Assets 2+3 (have gas). Constant combustion EF ≈ 0.183 kgCO2e/kWh ('Example Input' Section 4). Assets 1+4: no gas.</t>
  </si>
  <si>
    <t>Asset 1 only. IMPORTANT: This uses a steam/heat default EF ('Example Input' Section 4 = 0.20431). For NYC Con Edison Steam, replace with the official utility-reported EF — district system EFs vary significantly by city and year.</t>
  </si>
  <si>
    <t>From 'Example Input' Section 2. NYSTc_Mixed mild_4A = New York eGRID subregion, Mixed mild climate zone 4A.</t>
  </si>
  <si>
    <t>From 'Example Input' Section 2.</t>
  </si>
  <si>
    <t>From 'Example Input' Section 2. Used in mixed-use blend (65% weight).</t>
  </si>
  <si>
    <t>From 'Example Input' Section 2. Used in mixed-use blend (35% weight).</t>
  </si>
  <si>
    <t>From 'Example Input' Section 3.</t>
  </si>
  <si>
    <t>This sheet contains a SUBSET of CRREM data for the 4 example assets only (metric/kWh). In a production tool, the full CRREM Pathways dataset (~1500 rows per metric) would be imported as separate sheets. The data below shows the specific rows used by the 4 example assets.</t>
  </si>
  <si>
    <t>HOW TO INTEGRATE: Import the full CRREM Pathways dataset (available in 6 unit/area variants — see Integration Guide below). Look up pathways using the Code column (e.g. 'UK.OFF.CO2') with INDEX/MATCH or XLOOKUP. The Region Code must match the CRREM_Region resolved in Step 5.1 of the Asset Level Blueprint.</t>
  </si>
  <si>
    <t>In a full tool: import the complete CRREM CO2 Pathways dataset (~1500 rows). Available in sqm (kgCO₂/m²/yr) and sqft (kgCO₂/ft²/yr) variants. Structure: Region | Country | Region Code | Property Type | Abbreviation | Code | Unit | 2020–2050. Lookup key: Code column (e.g. 'UK.OFF.CO2'). For mixed-use assets, blend multiple rows using GIA shares.</t>
  </si>
  <si>
    <t>In a full tool: import the complete CRREM EUI Pathways dataset (~1500 rows). Available in 4 unit/area variants: kWh/m²/yr, kWh/ft²/yr, kBtu/m²/yr, kBtu/ft²/yr. Same structure and lookup key as CO2 Pathways.</t>
  </si>
  <si>
    <t>The CRREM Pathways file provides 6 sheets, one per unit/area combination: CO2 (sqm) kgCO₂/m²/yr • CO2 (sqft) kgCO₂/ft²/yr • EUI kWh (sqm) kWh/m²/yr • EUI kWh (sqft) kWh/ft²/yr • EUI kBtu (sqm) kBtu/m²/yr • EUI kBtu (sqft) kBtu/ft²/yr. All ~1500 rows, identical structure: Region | Country | Region Code | Property Type | Abbreviation | Code | Unit | 2020–2050.</t>
  </si>
  <si>
    <t>Select ONE CO2 + ONE EUI sheet based on area unit and energy unit: m²+kWh → sqm/kWh sheets • ft²+kWh → sqft/kWh sheets • ft²+kBtu → sqft/kBtu sheets • m²+kBtu → sqm/kBtu sheets. This workbook’s examples use metric (sqm) + kWh. Sections 2 &amp; 3 above show the corresponding subset.</t>
  </si>
  <si>
    <t>Each pathway row has a unique Code in column F (e.g. 'UK.OFF.CO2', 'AUS6.DWW.EUI'). Use for exact lookup via INDEX/MATCH or XLOOKUP. Or look up by Region Code (col C) + Abbreviation (col E). For mixed-use: blend multiple rows by GIA shares.</t>
  </si>
  <si>
    <t>CRREM_Region from Step 5.1 must match Region Code (col C). National: country code (UK, HK, AT). USA sub-national: eGRID + climate zone (e.g. 'NYSTc_Mixed mild_4A'). Australia: NCC Zone (e.g. 'NCC Zone 6'). Canada: province (e.g. 'Alberta').</t>
  </si>
  <si>
    <t>Replace hardcoded pathway values with INDEX/MATCH formulas referencing the imported pathway sheets via Code column (F). For Step 6 (stranding year), reference the full year row as an array to find the crossover point.</t>
  </si>
  <si>
    <t>AI agent workflow: (a) determine area unit (sqm/sqft) + energy unit (kWh/kBtu) → select correct sheet pair, (b) resolve CRREM_Region from Country + Postal_Code, (c) build Code: {Region Code}.{Abbreviation}.CO2/.EUI, (d) look up full pathway row.</t>
  </si>
  <si>
    <t>SECTION 2  CRREM CO2 Pathways (kgCO2e/m²/yr), 1.5°C Scenario — Subset for 4 example assets</t>
  </si>
  <si>
    <t>SECTION 3  CRREM EUI Pathways (kWh/m²/yr), 1.5°C Scenario — Subset for 4 example assets</t>
  </si>
  <si>
    <t>4.1 Reporting Year Comparison &amp; Forward Outlook</t>
  </si>
  <si>
    <t>RETROFIT SCENARIO (Illustrative — Not Part of Official CRREM Methodology)</t>
  </si>
  <si>
    <t>User Inputs</t>
  </si>
  <si>
    <t>Retrofit_Year</t>
  </si>
  <si>
    <t>Year in which the retrofit takes effect (must be between 2024 and 2050). Energy demand drops from this year onward.</t>
  </si>
  <si>
    <t>Energy_Reduction_%</t>
  </si>
  <si>
    <t>Post-Retrofit Outputs</t>
  </si>
  <si>
    <t>Post-Retrofit EUI</t>
  </si>
  <si>
    <t>Post-Retrofit Carbon Intensity (at Retrofit Year)</t>
  </si>
  <si>
    <t>Carbon Intensity from Step 6.1 projection at the Retrofit Year, reduced by Energy_Reduction_%. Uses projected CI (which already accounts for grid decarbonization up to that year).</t>
  </si>
  <si>
    <t>New CO2_Misalignment_Year</t>
  </si>
  <si>
    <t>KEY OUTPUT ➡ First year where post-retrofit Carbon Intensity &gt; CO2 Pathway. Compare with original CO2_Misalignment_Year (Step 6) to see the retrofit benefit.</t>
  </si>
  <si>
    <t>New EUI_Misalignment_Year</t>
  </si>
  <si>
    <t>KEY OUTPUT ➡ First year where post-retrofit EUI &gt; EUI Pathway. Since EUI reduction is instant (flat post-retrofit), this uses the reduced EUI directly against the pathway.</t>
  </si>
  <si>
    <t>Comparison: Original vs. Post-Retrofit Misalignment</t>
  </si>
  <si>
    <t>Original CO2 Misalignment Year</t>
  </si>
  <si>
    <t>From Step 6 (no retrofit)</t>
  </si>
  <si>
    <t>New CO2 Misalignment Year</t>
  </si>
  <si>
    <t>Post-retrofit scenario</t>
  </si>
  <si>
    <t>CO2 Misalignment Shift</t>
  </si>
  <si>
    <t>years</t>
  </si>
  <si>
    <t>Terms of Use &amp; Disclaimer</t>
  </si>
  <si>
    <t>DISCLAIMER – TECHNICAL BLUEPRINT
1. PURPOSE 
This Technical Blueprint is provided by CRREM as a step-by-step technical specification for building a CRREM assessment tool. Intended for developers, AI agents, or analysts replicating the CRREM methodology programmatically. CRREM provides this Technical Blueprint solely as a guidance tool. CRREM does not review, audit, verify, or otherwise validate the assumptions, data inputs, or disclosures made by users in this Technical Blueprint. CRREM shall not be held accountable for any errors, omissions, or misrepresentations in user-completed disclosures.
2. CALCULATIONS AND FORMULAS
All underlying calculations, formulas, and computational logic contained in this workbook are provided strictly on an "as-is" basis for informational and illustrative purposes only. Users who choose to rely upon, apply, or adapt any calculations or formulas do so entirely at their own risk. CRREM makes no representation or warranty that any calculation or formula is free from errors, complete, or suitable for any specific application. Users are solely responsible for independently verifying all outputs before relying on them for decision-making, reporting, or compliance purposes.
3. NO LICENSING OR INTELLECTUAL PROPERTY RIGHTS GRANTED
This workbook does not constitute, and shall not be construed as, a grant, transfer, or license of any intellectual property rights, copyrights, database rights, or any other proprietary rights. All rights in any referenced third-party data, methodologies, or standards remain exclusively with their respective owners. Users who wish to obtain licenses or permissions for any referenced materials must contact the original publishers directly.
4. ACCURACY AND COMPLETENESS
While CRREM has exercised reasonable care in designing this Technical Blueprint and formulating the recommended options and guidance contained herein, CRREM makes no representation or warranty, whether express or implied, as to the accuracy, completeness, reliability, timeliness, or fitness for any particular purpose of the framework or its contents. The disclosure items and recommendations may be updated periodically to reflect evolving best practices, regulatory requirements, or methodological developments.
5. NO LIABILITY
To the fullest extent permitted by applicable law, CRREM, its affiliates, partners, directors, employees, and agents shall not be liable for any direct, indirect, incidental, consequential, special, or exemplary damages, losses, or costs of any kind arising out of or in connection with the use of, reliance upon, or inability to use this Technical Blueprint, regardless of the cause of action or the theory of liability, even if CRREM has been advised of the possibility of such damages. This includes, without limitation, any liability arising from incomplete or incorrect disclosures made by users.
6. USER RESPONSIBILITY
Users are solely responsible for: (a) selecting the assumptions and methodological choices appropriate to their specific assets, portfolios, jurisdictions, and reporting requirements; (b) ensuring the accuracy and completeness of all data and disclosures entered into this Technical Blueprint; (c) independently verifying that their disclosures are consistent with applicable regulatory, reporting, and stakeholder requirements; and (d) maintaining documentation sufficient to support and substantiate each disclosed assumption. Users should not rely on this framework as a substitute for professional advice or independent due diligence.
7. COMPARABILITY AND CONSISTENCY
The value of this Technical Blueprint depends on consistent and honest application by all users. Assessments that use different assumptions or methodological choices may not be directly comparable. Users are encouraged to disclose all material deviations from CRREM's recommended options and to maintain consistency across reporting periods to support meaningful trend analysis.
8. CHANGES AND UPDATES
CRREM reserves the right to modify, update, or discontinue this Technical Blueprint at any time without prior notice. CRREM is under no obligation to notify users of changes to the framework or to maintain backward compatibility with prior versions.
© CRREM – Carbon Risk Real Estate Monitor. All rights reserved with respect to the design and structure of this Technical Blueprint.</t>
  </si>
  <si>
    <t>SUM all energy types incl. on-site renewables consumed on-site</t>
  </si>
  <si>
    <t>CO2 per type</t>
  </si>
  <si>
    <t>EFs per type, per country, per year (with annual grid EF projections)</t>
  </si>
  <si>
    <t>⚠ This section is NOT part of the official CRREM assessment methodology. It provides a simplified illustrative example of how a future energy retrofit (uniform % reduction across all energy typess) could shift the Misalignment Year. In practice, retrofits affect individual typess differently, may change over time, and require detailed engineering assumptions. This is included for internal demonstration purposes only.</t>
  </si>
  <si>
    <t>Uniform reduction applied to ALL energy typess (electricity, gas, DH, DC, renewables). Simplified assumption — real retrofits affect typess unevenly.</t>
  </si>
  <si>
    <t>= EUI × (1 − Energy_Reduction_%). Uniform reduction across all typess.</t>
  </si>
  <si>
    <t>SUM of all energy types incl. Renew_Consumed. Renew_Exported is NOT included here.</t>
  </si>
  <si>
    <t>Sum of all types CO2 before grid export credit</t>
  </si>
  <si>
    <t>2.3 Project Portfolio Performance Forward (Reporting Year to 2050)</t>
  </si>
  <si>
    <t>Compare the portfolio's projected performance trajectories (from Step 2.3) against the GIA-weighted CRREM Pathway (from Step 3.1) to determine whether the portfolio is currently aligned, and to find the CRREM Misalignment Year.</t>
  </si>
  <si>
    <t>Declines year by year (pre-computed in Step 2.3)</t>
  </si>
  <si>
    <t>Using the GIA weights from Step 2.1 and the asset-level forward projections from Asset-Level Step 6.1, aggregate the projected asset-level carbon intensities into a portfolio-level time series from 2024 to 2050. Energy demand per asset is held constant; grid electricity EFs decline annually. EUI is held flat (no climate adjustment in this example). The Portfolio CO2 Pathway (from Step 3.1) is shown alongside for comparison.</t>
  </si>
  <si>
    <t>Portfolio CI(t) (GIA-wtd)</t>
  </si>
  <si>
    <t>Portfolio CO2 Pathway(t)</t>
  </si>
  <si>
    <t>Portfolio_Carbon_Intensity(t) declines from 66.08 (2024) to 22.07 (2050) due to declining grid EFs, even with flat energy demand. Portfolio_EUI(t) remains constant at 177.52 kWh/m²/yr (not shown; held flat from reporting year). The Portfolio CO2 Pathway (col G) is from Step 3.1 for year-by-year comparison in Step 4.</t>
  </si>
  <si>
    <t>Held constant from reporting year (pre-computed in Step 2.3)</t>
  </si>
  <si>
    <t>Portfolio_Carbon_Intensity(t) is the year-by-year trajectory from Step 2.3. Declines due to grid EF decline.</t>
  </si>
  <si>
    <t>Portfolio_EUI(t) from Step 2.3. Flat at 177.52 (default; no climate adjustment in this example).</t>
  </si>
  <si>
    <t>KEY OUTPUT. First year t where Portfolio_CI(t) from Step 2.3 &gt; Portfolio_CO2_Pathway(t) from Step 3.1.</t>
  </si>
  <si>
    <t>KEY OUTPUT. First year t (2020 to 2050) where Portfolio_EUI (from Step 2.3) &gt; Portfolio_EUI_Pathway(t). Loop from 2020.</t>
  </si>
  <si>
    <t>Methodology note: Portfolio_Carbon_Intensity(t) and Portfolio_EUI(t) are pre-computed in Step 2.3 as year-by-year GIA-weighted trajectories. Step 4 compares these trajectories against the Portfolio CRREM Pathway (Step 3.1). For CO2, the declining portfolio CI(t) is compared against the declining pathway. For EUI, portfolio EUI is held flat (default). The Misalignment Year is the first year the projected metric exceeds the pathway. If already exceeded in reporting year, report reporting year. If no crossing through 2050, report 'Beyond 2050'.</t>
  </si>
  <si>
    <t>STEP 3 Emission Factor Data</t>
  </si>
  <si>
    <t>6.1 Forward Projection (no-retrofit baseline)</t>
  </si>
  <si>
    <t>6.2 Identifying the Misalignment Year</t>
  </si>
  <si>
    <t>KEY OUTPUT. Uses Step 6.1 projected Carbon_Intensity(t) trajectory. Finds first year t (from Reporting Year to 2050) where CI(t) &gt; CO2_Pathway(t).</t>
  </si>
  <si>
    <t>KEY OUTPUT. EUI held flat from Reporting Year. Finds first year t where EUI &gt; EUI_Pathway(t).</t>
  </si>
  <si>
    <t>CO2_Misalignment_Year uses the Step 6.1 projected Carbon_Intensity(t) trajectory (declining via grid decarbonization) against the CRREM CO2 Pathway. EUI_Misalignment_Year uses the flat EUI from Step 2 against the declining CRREM EUI Pathway. Both start from Reporting Year (2024). If already exceeded, report Reporting Year. If no crossing through 2050, report 'Beyond 2050'.</t>
  </si>
  <si>
    <t>Energy_type × EF_type (EF=0 for on-site RE)</t>
  </si>
  <si>
    <t>MIN(Exported_RE × EF_grid, Grid_Elec × EF_grid)</t>
  </si>
  <si>
    <t>(Total_CO2 − Grid_Export_Credit) / GIA</t>
  </si>
  <si>
    <t>SUM(Pathway_type × GIA_share_type) per year</t>
  </si>
  <si>
    <t>HDD and CDD projections by location and year under climate scenarios (e.g. SSP5-8.5, SSP2-4.5). Required for Step 6.1a.</t>
  </si>
  <si>
    <t>The four buildings below are illustrative and do not represent real assets. Results may differ marginally from the legacy CRREM Risk Assessment Tool 2.07 depending on the settings selected and whether HDD/CDD climate normalization was applied.</t>
  </si>
  <si>
    <t>Version: May 2026</t>
  </si>
  <si>
    <t>Japan</t>
  </si>
  <si>
    <t>JAP</t>
  </si>
  <si>
    <t>JAP.DWW.CO2</t>
  </si>
  <si>
    <t>JAP.DWW.EUI</t>
  </si>
  <si>
    <t>Asset 4: Japan Warehouse</t>
  </si>
  <si>
    <t>CO2 Pathway: Dist. Warehouse Warm, JAP (2024)</t>
  </si>
  <si>
    <t>EUI Pathway: Dist. Warehouse Warm, JAP (2024)</t>
  </si>
  <si>
    <t>JAP (Asset 4)</t>
  </si>
  <si>
    <t>Tokyo Logistics Park</t>
  </si>
  <si>
    <t>Positive = retrofit delays Misalignment Year. Shows how many years the Misalignment Year shifts.</t>
  </si>
  <si>
    <t>4 assets: Office Manhattan (District Heat) | HK Shopping Mall (District Cooling) | London Mixed-Use Office+Retail with on-site PV | Japan Distribution Warehouse (Heat Pump + large PV export)</t>
  </si>
  <si>
    <t>272-0001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</si>
</sst>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USD]\ #,##0"/>
    <numFmt numFmtId="166" formatCode="0.000000"/>
    <numFmt numFmtId="167" formatCode="0.00000"/>
    <numFmt numFmtId="168" formatCode="0.0000"/>
    <numFmt numFmtId="169" formatCode="\+0;\-0;0"/>
  </numFmts>
  <fonts count="48" x14ac:knownFonts="1">
    <font>
      <sz val="11"/>
      <color theme="1"/>
      <name val="Aptos Narrow"/>
      <family val="2"/>
      <scheme val="minor"/>
    </font>
    <font>
      <sz val="10"/>
      <color theme="1"/>
      <name val="Aptos Narrow"/>
      <family val="2"/>
      <scheme val="minor"/>
    </font>
    <font>
      <b/>
      <sz val="10"/>
      <color theme="1"/>
      <name val="Aptos Narrow"/>
      <family val="2"/>
      <scheme val="minor"/>
    </font>
    <font>
      <b/>
      <sz val="10"/>
      <color rgb="FFFFFFFF"/>
      <name val="Aptos Narrow"/>
      <family val="2"/>
      <scheme val="minor"/>
    </font>
    <font>
      <b/>
      <sz val="13"/>
      <color rgb="FFFFFFFF"/>
      <name val="Aptos Narrow"/>
      <family val="2"/>
      <scheme val="minor"/>
    </font>
    <font>
      <b/>
      <sz val="10"/>
      <color rgb="FFC00000"/>
      <name val="Aptos Narrow"/>
      <family val="2"/>
      <scheme val="minor"/>
    </font>
    <font>
      <b/>
      <sz val="10"/>
      <color rgb="FF17493A"/>
      <name val="Aptos Narrow"/>
      <family val="2"/>
      <scheme val="minor"/>
    </font>
    <font>
      <sz val="10"/>
      <color rgb="FFC00000"/>
      <name val="Aptos Narrow"/>
      <family val="2"/>
      <scheme val="minor"/>
    </font>
    <font>
      <b/>
      <i/>
      <sz val="10"/>
      <color rgb="FFFFFFFF"/>
      <name val="Calibri"/>
      <family val="2"/>
    </font>
    <font>
      <b/>
      <sz val="16"/>
      <color rgb="FFFFFFFF"/>
      <name val="Calibri"/>
      <family val="2"/>
    </font>
    <font>
      <sz val="10"/>
      <color rgb="FF0000FF"/>
      <name val="Aptos Narrow"/>
      <family val="2"/>
      <scheme val="minor"/>
    </font>
    <font>
      <b/>
      <sz val="11"/>
      <color rgb="FFFFFFFF"/>
      <name val="Aptos Narrow"/>
      <family val="2"/>
      <scheme val="minor"/>
    </font>
    <font>
      <b/>
      <sz val="10"/>
      <color rgb="FFFFFFFF"/>
      <name val="Aptos Narrow"/>
      <family val="2"/>
      <scheme val="minor"/>
    </font>
    <font>
      <sz val="10"/>
      <color theme="1"/>
      <name val="Aptos Narrow"/>
      <family val="2"/>
      <scheme val="minor"/>
    </font>
    <font>
      <sz val="10"/>
      <color rgb="FF0000FF"/>
      <name val="Aptos Narrow"/>
      <family val="2"/>
      <scheme val="minor"/>
    </font>
    <font>
      <sz val="10"/>
      <color rgb="FF808080"/>
      <name val="Aptos Narrow"/>
      <family val="2"/>
      <scheme val="minor"/>
    </font>
    <font>
      <b/>
      <sz val="10"/>
      <color theme="1"/>
      <name val="Aptos Narrow"/>
      <family val="2"/>
      <scheme val="minor"/>
    </font>
    <font>
      <sz val="9"/>
      <color rgb="FF808080"/>
      <name val="Aptos Narrow"/>
      <family val="2"/>
      <scheme val="minor"/>
    </font>
    <font>
      <b/>
      <sz val="10"/>
      <color rgb="FFC00000"/>
      <name val="Aptos Narrow"/>
      <family val="2"/>
      <scheme val="minor"/>
    </font>
    <font>
      <b/>
      <sz val="9"/>
      <color rgb="FFC00000"/>
      <name val="Aptos Narrow"/>
      <family val="2"/>
      <scheme val="minor"/>
    </font>
    <font>
      <i/>
      <sz val="9"/>
      <color rgb="FF808080"/>
      <name val="Aptos Narrow"/>
      <family val="2"/>
      <scheme val="minor"/>
    </font>
    <font>
      <i/>
      <sz val="9"/>
      <color rgb="FF808080"/>
      <name val="Aptos Narrow"/>
      <family val="2"/>
      <scheme val="minor"/>
    </font>
    <font>
      <i/>
      <sz val="9"/>
      <color rgb="FF17493A"/>
      <name val="Aptos Narrow"/>
      <family val="2"/>
      <scheme val="minor"/>
    </font>
    <font>
      <i/>
      <sz val="9"/>
      <color rgb="FF17493A"/>
      <name val="Aptos Narrow"/>
      <family val="2"/>
      <scheme val="minor"/>
    </font>
    <font>
      <b/>
      <sz val="11"/>
      <color rgb="FFFFFFFF"/>
      <name val="Aptos Narrow"/>
      <family val="2"/>
      <scheme val="minor"/>
    </font>
    <font>
      <sz val="10"/>
      <color rgb="FF000000"/>
      <name val="Aptos Narrow"/>
      <family val="2"/>
      <scheme val="minor"/>
    </font>
    <font>
      <b/>
      <sz val="9"/>
      <color rgb="FF5B8A8A"/>
      <name val="Aptos Narrow"/>
      <family val="2"/>
      <scheme val="minor"/>
    </font>
    <font>
      <b/>
      <sz val="10"/>
      <color rgb="FF000000"/>
      <name val="Aptos Narrow"/>
      <family val="2"/>
      <scheme val="minor"/>
    </font>
    <font>
      <i/>
      <sz val="10"/>
      <color rgb="FF000000"/>
      <name val="Aptos Narrow"/>
      <family val="2"/>
      <scheme val="minor"/>
    </font>
    <font>
      <b/>
      <i/>
      <sz val="10"/>
      <color rgb="FF17493A"/>
      <name val="Aptos Narrow"/>
      <family val="2"/>
      <scheme val="minor"/>
    </font>
    <font>
      <b/>
      <sz val="10"/>
      <color rgb="FF000000"/>
      <name val="Aptos Narrow"/>
      <family val="2"/>
      <scheme val="minor"/>
    </font>
    <font>
      <sz val="9"/>
      <color rgb="FF808080"/>
      <name val="Aptos Narrow"/>
      <family val="2"/>
      <scheme val="minor"/>
    </font>
    <font>
      <b/>
      <sz val="10"/>
      <color rgb="FF17493A"/>
      <name val="Aptos Narrow"/>
      <family val="2"/>
      <scheme val="minor"/>
    </font>
    <font>
      <sz val="10"/>
      <color rgb="FF000000"/>
      <name val="Consolas"/>
      <family val="3"/>
    </font>
    <font>
      <b/>
      <i/>
      <sz val="11"/>
      <color rgb="FFFFFFFF"/>
      <name val="Aptos Narrow"/>
      <family val="2"/>
      <scheme val="minor"/>
    </font>
    <font>
      <b/>
      <i/>
      <sz val="9"/>
      <color rgb="FF17493A"/>
      <name val="Aptos Narrow"/>
      <family val="2"/>
      <scheme val="minor"/>
    </font>
    <font>
      <i/>
      <sz val="11"/>
      <color rgb="FFFFFFFF"/>
      <name val="Aptos Narrow"/>
      <family val="2"/>
      <scheme val="minor"/>
    </font>
    <font>
      <i/>
      <sz val="9"/>
      <color theme="1"/>
      <name val="Aptos Narrow"/>
      <family val="2"/>
      <scheme val="minor"/>
    </font>
    <font>
      <b/>
      <sz val="13"/>
      <color rgb="FFFFFFFF"/>
      <name val="Calibri"/>
      <family val="2"/>
    </font>
    <font>
      <i/>
      <sz val="9"/>
      <color rgb="FF213338"/>
      <name val="Aptos Narrow"/>
      <family val="2"/>
      <scheme val="minor"/>
    </font>
    <font>
      <b/>
      <i/>
      <sz val="10"/>
      <color rgb="FF17493A"/>
      <name val="Aptos Narrow"/>
      <scheme val="minor"/>
    </font>
    <font>
      <b/>
      <i/>
      <sz val="10"/>
      <color rgb="FFFFFFFF"/>
      <name val="Aptos Narrow"/>
      <scheme val="minor"/>
    </font>
    <font>
      <i/>
      <sz val="9"/>
      <color rgb="FF808080"/>
      <name val="Aptos Narrow"/>
      <scheme val="minor"/>
    </font>
    <font>
      <b/>
      <i/>
      <sz val="10"/>
      <color rgb="FF808080"/>
      <name val="Aptos Narrow"/>
      <scheme val="minor"/>
    </font>
    <font>
      <i/>
      <sz val="10"/>
      <color rgb="FF808080"/>
      <name val="Aptos Narrow"/>
      <scheme val="minor"/>
    </font>
    <font>
      <i/>
      <sz val="10"/>
      <color rgb="FF000000"/>
      <name val="Calibri"/>
      <family val="2"/>
    </font>
    <font>
      <b/>
      <i/>
      <sz val="9"/>
      <color rgb="FF808080"/>
      <name val="Aptos Narrow"/>
      <family val="2"/>
      <scheme val="minor"/>
    </font>
    <font>
      <sz val="10"/>
      <color rgb="FF808080"/>
      <name val="Calibri"/>
    </font>
  </fonts>
  <fills count="18">
    <fill>
      <patternFill patternType="none"/>
    </fill>
    <fill>
      <patternFill patternType="gray125"/>
    </fill>
    <fill>
      <patternFill patternType="solid">
        <fgColor rgb="FFF0F7F7"/>
        <bgColor indexed="64"/>
      </patternFill>
    </fill>
    <fill>
      <patternFill patternType="solid">
        <fgColor rgb="FF3B5E5E"/>
        <bgColor indexed="64"/>
      </patternFill>
    </fill>
    <fill>
      <patternFill patternType="solid">
        <fgColor rgb="FF17493A"/>
        <bgColor indexed="64"/>
      </patternFill>
    </fill>
    <fill>
      <patternFill patternType="solid">
        <fgColor rgb="FFFFF2CC"/>
        <bgColor indexed="64"/>
      </patternFill>
    </fill>
    <fill>
      <patternFill patternType="solid">
        <fgColor rgb="FF223339"/>
        <bgColor indexed="64"/>
      </patternFill>
    </fill>
    <fill>
      <patternFill patternType="solid">
        <fgColor rgb="FFE4EDEF"/>
        <bgColor indexed="64"/>
      </patternFill>
    </fill>
    <fill>
      <patternFill patternType="solid">
        <fgColor rgb="FF5B8A8A"/>
        <bgColor indexed="64"/>
      </patternFill>
    </fill>
    <fill>
      <patternFill patternType="solid">
        <fgColor rgb="FFFFFFFF"/>
        <bgColor indexed="64"/>
      </patternFill>
    </fill>
    <fill>
      <patternFill patternType="solid">
        <fgColor rgb="FFF2F9F5"/>
        <bgColor indexed="64"/>
      </patternFill>
    </fill>
    <fill>
      <patternFill patternType="solid">
        <fgColor rgb="FFF4FAF7"/>
        <bgColor indexed="64"/>
      </patternFill>
    </fill>
    <fill>
      <patternFill patternType="solid">
        <fgColor rgb="FFE8F4F1"/>
        <bgColor indexed="64"/>
      </patternFill>
    </fill>
    <fill>
      <patternFill patternType="solid">
        <fgColor rgb="FFF0F0F0"/>
        <bgColor indexed="64"/>
      </patternFill>
    </fill>
    <fill>
      <patternFill patternType="solid">
        <fgColor rgb="FF213338"/>
        <bgColor indexed="64"/>
      </patternFill>
    </fill>
    <fill>
      <patternFill patternType="solid">
        <fgColor theme="0"/>
        <bgColor indexed="64"/>
      </patternFill>
    </fill>
    <fill>
      <patternFill patternType="solid">
        <fgColor theme="3"/>
        <bgColor indexed="64"/>
      </patternFill>
    </fill>
    <fill>
      <patternFill patternType="solid">
        <fgColor rgb="FFE8F0ED"/>
        <bgColor indexed="64"/>
      </patternFill>
    </fill>
  </fills>
  <borders count="2">
    <border>
      <left/>
      <right/>
      <top/>
      <bottom/>
      <diagonal/>
    </border>
    <border>
      <left/>
      <right/>
      <top/>
      <bottom style="thin">
        <color rgb="FF174A3B"/>
      </bottom>
      <diagonal/>
    </border>
  </borders>
  <cellStyleXfs count="1">
    <xf numFmtId="0" fontId="0" fillId="0" borderId="0"/>
  </cellStyleXfs>
  <cellXfs count="185">
    <xf numFmtId="0" fontId="0" fillId="0" borderId="0" xfId="0"/>
    <xf numFmtId="0" fontId="0" fillId="0" borderId="0" xfId="0" applyAlignment="1">
      <alignment wrapText="1"/>
    </xf>
    <xf numFmtId="0" fontId="0" fillId="2" borderId="0" xfId="0" applyFill="1"/>
    <xf numFmtId="0" fontId="1" fillId="0" borderId="0" xfId="0" applyFont="1" applyAlignment="1">
      <alignment wrapText="1"/>
    </xf>
    <xf numFmtId="0" fontId="0" fillId="3" borderId="0" xfId="0" applyFill="1"/>
    <xf numFmtId="0" fontId="3" fillId="3" borderId="0" xfId="0" applyFont="1" applyFill="1"/>
    <xf numFmtId="0" fontId="0" fillId="4" borderId="0" xfId="0" applyFill="1"/>
    <xf numFmtId="0" fontId="4" fillId="4" borderId="0" xfId="0" applyFont="1" applyFill="1"/>
    <xf numFmtId="0" fontId="1" fillId="0" borderId="0" xfId="0" applyFont="1"/>
    <xf numFmtId="0" fontId="5" fillId="5" borderId="0" xfId="0" applyFont="1" applyFill="1" applyAlignment="1">
      <alignment wrapText="1"/>
    </xf>
    <xf numFmtId="0" fontId="1" fillId="5" borderId="0" xfId="0" applyFont="1" applyFill="1"/>
    <xf numFmtId="0" fontId="4" fillId="6" borderId="0" xfId="0" applyFont="1" applyFill="1"/>
    <xf numFmtId="0" fontId="0" fillId="7" borderId="0" xfId="0" applyFill="1"/>
    <xf numFmtId="0" fontId="6" fillId="7" borderId="0" xfId="0" applyFont="1" applyFill="1"/>
    <xf numFmtId="0" fontId="8" fillId="3" borderId="0" xfId="0" applyFont="1" applyFill="1"/>
    <xf numFmtId="0" fontId="12" fillId="3" borderId="0" xfId="0" applyFont="1" applyFill="1"/>
    <xf numFmtId="0" fontId="14" fillId="9" borderId="0" xfId="0" applyFont="1" applyFill="1"/>
    <xf numFmtId="0" fontId="16" fillId="9" borderId="0" xfId="0" applyFont="1" applyFill="1"/>
    <xf numFmtId="0" fontId="16" fillId="2" borderId="0" xfId="0" applyFont="1" applyFill="1"/>
    <xf numFmtId="0" fontId="0" fillId="9" borderId="0" xfId="0" applyFill="1"/>
    <xf numFmtId="0" fontId="16" fillId="5" borderId="0" xfId="0" applyFont="1" applyFill="1"/>
    <xf numFmtId="2" fontId="1" fillId="9" borderId="0" xfId="0" applyNumberFormat="1" applyFont="1" applyFill="1"/>
    <xf numFmtId="0" fontId="16" fillId="11" borderId="0" xfId="0" applyFont="1" applyFill="1"/>
    <xf numFmtId="0" fontId="14" fillId="11" borderId="0" xfId="0" applyFont="1" applyFill="1"/>
    <xf numFmtId="0" fontId="17" fillId="11" borderId="0" xfId="0" applyFont="1" applyFill="1" applyAlignment="1">
      <alignment wrapText="1"/>
    </xf>
    <xf numFmtId="0" fontId="17" fillId="9" borderId="0" xfId="0" applyFont="1" applyFill="1" applyAlignment="1">
      <alignment wrapText="1"/>
    </xf>
    <xf numFmtId="3" fontId="14" fillId="11" borderId="0" xfId="0" applyNumberFormat="1" applyFont="1" applyFill="1"/>
    <xf numFmtId="2" fontId="14" fillId="11" borderId="0" xfId="0" applyNumberFormat="1" applyFont="1" applyFill="1"/>
    <xf numFmtId="2" fontId="14" fillId="9" borderId="0" xfId="0" applyNumberFormat="1" applyFont="1" applyFill="1"/>
    <xf numFmtId="0" fontId="17" fillId="5" borderId="0" xfId="0" applyFont="1" applyFill="1" applyAlignment="1">
      <alignment wrapText="1"/>
    </xf>
    <xf numFmtId="0" fontId="16" fillId="12" borderId="0" xfId="0" applyFont="1" applyFill="1"/>
    <xf numFmtId="1" fontId="14" fillId="11" borderId="0" xfId="0" applyNumberFormat="1" applyFont="1" applyFill="1"/>
    <xf numFmtId="3" fontId="14" fillId="9" borderId="0" xfId="0" applyNumberFormat="1" applyFont="1" applyFill="1"/>
    <xf numFmtId="164" fontId="14" fillId="11" borderId="0" xfId="0" applyNumberFormat="1" applyFont="1" applyFill="1"/>
    <xf numFmtId="164" fontId="14" fillId="9" borderId="0" xfId="0" applyNumberFormat="1" applyFont="1" applyFill="1"/>
    <xf numFmtId="2" fontId="25" fillId="5" borderId="0" xfId="0" applyNumberFormat="1" applyFont="1" applyFill="1"/>
    <xf numFmtId="3" fontId="13" fillId="11" borderId="0" xfId="0" applyNumberFormat="1" applyFont="1" applyFill="1"/>
    <xf numFmtId="2" fontId="16" fillId="5" borderId="0" xfId="0" applyNumberFormat="1" applyFont="1" applyFill="1"/>
    <xf numFmtId="3" fontId="13" fillId="9" borderId="0" xfId="0" applyNumberFormat="1" applyFont="1" applyFill="1"/>
    <xf numFmtId="3" fontId="16" fillId="12" borderId="0" xfId="0" applyNumberFormat="1" applyFont="1" applyFill="1"/>
    <xf numFmtId="0" fontId="12" fillId="3" borderId="0" xfId="0" applyFont="1" applyFill="1" applyAlignment="1">
      <alignment wrapText="1"/>
    </xf>
    <xf numFmtId="0" fontId="17" fillId="12" borderId="0" xfId="0" applyFont="1" applyFill="1" applyAlignment="1">
      <alignment wrapText="1"/>
    </xf>
    <xf numFmtId="0" fontId="26" fillId="11" borderId="0" xfId="0" applyFont="1" applyFill="1" applyAlignment="1">
      <alignment wrapText="1"/>
    </xf>
    <xf numFmtId="0" fontId="2" fillId="9" borderId="0" xfId="0" applyFont="1" applyFill="1"/>
    <xf numFmtId="0" fontId="1" fillId="9" borderId="0" xfId="0" applyFont="1" applyFill="1" applyAlignment="1">
      <alignment wrapText="1"/>
    </xf>
    <xf numFmtId="0" fontId="5" fillId="5" borderId="0" xfId="0" applyFont="1" applyFill="1"/>
    <xf numFmtId="0" fontId="10" fillId="9" borderId="0" xfId="0" applyFont="1" applyFill="1"/>
    <xf numFmtId="49" fontId="10" fillId="9" borderId="0" xfId="0" applyNumberFormat="1" applyFont="1" applyFill="1"/>
    <xf numFmtId="1" fontId="27" fillId="5" borderId="0" xfId="0" applyNumberFormat="1" applyFont="1" applyFill="1"/>
    <xf numFmtId="2" fontId="13" fillId="5" borderId="0" xfId="0" applyNumberFormat="1" applyFont="1" applyFill="1"/>
    <xf numFmtId="0" fontId="18" fillId="5" borderId="0" xfId="0" applyFont="1" applyFill="1" applyAlignment="1">
      <alignment wrapText="1"/>
    </xf>
    <xf numFmtId="0" fontId="30" fillId="11" borderId="0" xfId="0" applyFont="1" applyFill="1"/>
    <xf numFmtId="0" fontId="30" fillId="9" borderId="0" xfId="0" applyFont="1" applyFill="1"/>
    <xf numFmtId="10" fontId="25" fillId="9" borderId="0" xfId="0" applyNumberFormat="1" applyFont="1" applyFill="1"/>
    <xf numFmtId="0" fontId="19" fillId="5" borderId="0" xfId="0" applyFont="1" applyFill="1" applyAlignment="1">
      <alignment wrapText="1"/>
    </xf>
    <xf numFmtId="1" fontId="16" fillId="11" borderId="0" xfId="0" applyNumberFormat="1" applyFont="1" applyFill="1"/>
    <xf numFmtId="1" fontId="16" fillId="9" borderId="0" xfId="0" applyNumberFormat="1" applyFont="1" applyFill="1"/>
    <xf numFmtId="2" fontId="16" fillId="11" borderId="0" xfId="0" applyNumberFormat="1" applyFont="1" applyFill="1"/>
    <xf numFmtId="2" fontId="16" fillId="9" borderId="0" xfId="0" applyNumberFormat="1" applyFont="1" applyFill="1"/>
    <xf numFmtId="2" fontId="15" fillId="11" borderId="0" xfId="0" applyNumberFormat="1" applyFont="1" applyFill="1"/>
    <xf numFmtId="2" fontId="15" fillId="11" borderId="0" xfId="0" applyNumberFormat="1" applyFont="1" applyFill="1" applyAlignment="1">
      <alignment wrapText="1"/>
    </xf>
    <xf numFmtId="2" fontId="15" fillId="9" borderId="0" xfId="0" applyNumberFormat="1" applyFont="1" applyFill="1"/>
    <xf numFmtId="2" fontId="15" fillId="9" borderId="0" xfId="0" applyNumberFormat="1" applyFont="1" applyFill="1" applyAlignment="1">
      <alignment wrapText="1"/>
    </xf>
    <xf numFmtId="2" fontId="15" fillId="12" borderId="0" xfId="0" applyNumberFormat="1" applyFont="1" applyFill="1"/>
    <xf numFmtId="2" fontId="15" fillId="12" borderId="0" xfId="0" applyNumberFormat="1" applyFont="1" applyFill="1" applyAlignment="1">
      <alignment wrapText="1"/>
    </xf>
    <xf numFmtId="1" fontId="30" fillId="12" borderId="0" xfId="0" applyNumberFormat="1" applyFont="1" applyFill="1"/>
    <xf numFmtId="2" fontId="30" fillId="12" borderId="0" xfId="0" applyNumberFormat="1" applyFont="1" applyFill="1"/>
    <xf numFmtId="165" fontId="10" fillId="11" borderId="0" xfId="0" applyNumberFormat="1" applyFont="1" applyFill="1"/>
    <xf numFmtId="165" fontId="14" fillId="9" borderId="0" xfId="0" applyNumberFormat="1" applyFont="1" applyFill="1"/>
    <xf numFmtId="3" fontId="1" fillId="0" borderId="0" xfId="0" applyNumberFormat="1" applyFont="1"/>
    <xf numFmtId="2" fontId="1" fillId="5" borderId="0" xfId="0" applyNumberFormat="1" applyFont="1" applyFill="1"/>
    <xf numFmtId="166" fontId="1" fillId="11" borderId="0" xfId="0" applyNumberFormat="1" applyFont="1" applyFill="1"/>
    <xf numFmtId="166" fontId="1" fillId="9" borderId="0" xfId="0" applyNumberFormat="1" applyFont="1" applyFill="1"/>
    <xf numFmtId="2" fontId="1" fillId="11" borderId="0" xfId="0" applyNumberFormat="1" applyFont="1" applyFill="1"/>
    <xf numFmtId="0" fontId="2" fillId="11" borderId="0" xfId="0" applyFont="1" applyFill="1"/>
    <xf numFmtId="167" fontId="1" fillId="11" borderId="0" xfId="0" applyNumberFormat="1" applyFont="1" applyFill="1"/>
    <xf numFmtId="167" fontId="1" fillId="9" borderId="0" xfId="0" applyNumberFormat="1" applyFont="1" applyFill="1"/>
    <xf numFmtId="0" fontId="31" fillId="11" borderId="0" xfId="0" applyFont="1" applyFill="1" applyAlignment="1">
      <alignment wrapText="1"/>
    </xf>
    <xf numFmtId="0" fontId="31" fillId="9" borderId="0" xfId="0" applyFont="1" applyFill="1" applyAlignment="1">
      <alignment wrapText="1"/>
    </xf>
    <xf numFmtId="1" fontId="1" fillId="11" borderId="0" xfId="0" applyNumberFormat="1" applyFont="1" applyFill="1"/>
    <xf numFmtId="0" fontId="1" fillId="11" borderId="0" xfId="0" applyFont="1" applyFill="1" applyAlignment="1">
      <alignment wrapText="1"/>
    </xf>
    <xf numFmtId="0" fontId="21" fillId="13" borderId="0" xfId="0" applyFont="1" applyFill="1" applyAlignment="1">
      <alignment wrapText="1"/>
    </xf>
    <xf numFmtId="0" fontId="21" fillId="13" borderId="0" xfId="0" applyFont="1" applyFill="1"/>
    <xf numFmtId="0" fontId="25" fillId="9" borderId="0" xfId="0" applyFont="1" applyFill="1"/>
    <xf numFmtId="0" fontId="32" fillId="7" borderId="0" xfId="0" applyFont="1" applyFill="1"/>
    <xf numFmtId="0" fontId="25" fillId="2" borderId="0" xfId="0" applyFont="1" applyFill="1"/>
    <xf numFmtId="0" fontId="25" fillId="9" borderId="0" xfId="0" applyFont="1" applyFill="1" applyAlignment="1">
      <alignment wrapText="1"/>
    </xf>
    <xf numFmtId="168" fontId="13" fillId="2" borderId="0" xfId="0" applyNumberFormat="1" applyFont="1" applyFill="1"/>
    <xf numFmtId="168" fontId="13" fillId="9" borderId="0" xfId="0" applyNumberFormat="1" applyFont="1" applyFill="1"/>
    <xf numFmtId="2" fontId="13" fillId="2" borderId="0" xfId="0" applyNumberFormat="1" applyFont="1" applyFill="1"/>
    <xf numFmtId="2" fontId="13" fillId="9" borderId="0" xfId="0" applyNumberFormat="1" applyFont="1" applyFill="1"/>
    <xf numFmtId="0" fontId="28" fillId="9" borderId="0" xfId="0" applyFont="1" applyFill="1" applyAlignment="1">
      <alignment wrapText="1"/>
    </xf>
    <xf numFmtId="0" fontId="28" fillId="9" borderId="0" xfId="0" applyFont="1" applyFill="1"/>
    <xf numFmtId="0" fontId="2" fillId="11" borderId="0" xfId="0" applyFont="1" applyFill="1" applyAlignment="1">
      <alignment horizontal="center" vertical="top" wrapText="1"/>
    </xf>
    <xf numFmtId="0" fontId="2" fillId="11" borderId="0" xfId="0" applyFont="1" applyFill="1" applyAlignment="1">
      <alignment vertical="top" wrapText="1"/>
    </xf>
    <xf numFmtId="0" fontId="13" fillId="11" borderId="0" xfId="0" applyFont="1" applyFill="1" applyAlignment="1">
      <alignment vertical="top" wrapText="1"/>
    </xf>
    <xf numFmtId="0" fontId="2" fillId="9" borderId="0" xfId="0" applyFont="1" applyFill="1" applyAlignment="1">
      <alignment horizontal="center" vertical="top" wrapText="1"/>
    </xf>
    <xf numFmtId="0" fontId="2" fillId="9" borderId="0" xfId="0" applyFont="1" applyFill="1" applyAlignment="1">
      <alignment vertical="top" wrapText="1"/>
    </xf>
    <xf numFmtId="0" fontId="13" fillId="9" borderId="0" xfId="0" applyFont="1" applyFill="1" applyAlignment="1">
      <alignment vertical="top" wrapText="1"/>
    </xf>
    <xf numFmtId="0" fontId="16" fillId="11" borderId="0" xfId="0" applyFont="1" applyFill="1" applyAlignment="1">
      <alignment horizontal="center" vertical="top" wrapText="1"/>
    </xf>
    <xf numFmtId="0" fontId="16" fillId="11" borderId="0" xfId="0" applyFont="1" applyFill="1" applyAlignment="1">
      <alignment vertical="top" wrapText="1"/>
    </xf>
    <xf numFmtId="0" fontId="25" fillId="11" borderId="0" xfId="0" applyFont="1" applyFill="1"/>
    <xf numFmtId="0" fontId="0" fillId="8" borderId="0" xfId="0" applyFill="1"/>
    <xf numFmtId="9" fontId="14" fillId="9" borderId="0" xfId="0" applyNumberFormat="1" applyFont="1" applyFill="1"/>
    <xf numFmtId="2" fontId="25" fillId="11" borderId="0" xfId="0" applyNumberFormat="1" applyFont="1" applyFill="1"/>
    <xf numFmtId="2" fontId="25" fillId="9" borderId="0" xfId="0" applyNumberFormat="1" applyFont="1" applyFill="1"/>
    <xf numFmtId="0" fontId="30" fillId="5" borderId="0" xfId="0" applyFont="1" applyFill="1"/>
    <xf numFmtId="1" fontId="30" fillId="5" borderId="0" xfId="0" applyNumberFormat="1" applyFont="1" applyFill="1"/>
    <xf numFmtId="1" fontId="25" fillId="11" borderId="0" xfId="0" applyNumberFormat="1" applyFont="1" applyFill="1"/>
    <xf numFmtId="1" fontId="25" fillId="9" borderId="0" xfId="0" applyNumberFormat="1" applyFont="1" applyFill="1"/>
    <xf numFmtId="169" fontId="32" fillId="11" borderId="0" xfId="0" applyNumberFormat="1" applyFont="1" applyFill="1"/>
    <xf numFmtId="0" fontId="17" fillId="11" borderId="0" xfId="0" quotePrefix="1" applyFont="1" applyFill="1" applyAlignment="1">
      <alignment wrapText="1"/>
    </xf>
    <xf numFmtId="0" fontId="0" fillId="14" borderId="0" xfId="0" applyFill="1"/>
    <xf numFmtId="0" fontId="36" fillId="14" borderId="0" xfId="0" applyFont="1" applyFill="1" applyAlignment="1">
      <alignment vertical="center"/>
    </xf>
    <xf numFmtId="0" fontId="37" fillId="14" borderId="0" xfId="0" applyFont="1" applyFill="1"/>
    <xf numFmtId="0" fontId="0" fillId="15" borderId="0" xfId="0" applyFill="1"/>
    <xf numFmtId="0" fontId="0" fillId="16" borderId="0" xfId="0" applyFill="1"/>
    <xf numFmtId="0" fontId="38" fillId="16" borderId="0" xfId="0" applyFont="1" applyFill="1" applyAlignment="1">
      <alignment vertical="center"/>
    </xf>
    <xf numFmtId="0" fontId="41" fillId="3" borderId="0" xfId="0" applyFont="1" applyFill="1"/>
    <xf numFmtId="0" fontId="41" fillId="3" borderId="0" xfId="0" applyFont="1" applyFill="1" applyAlignment="1">
      <alignment wrapText="1"/>
    </xf>
    <xf numFmtId="0" fontId="27" fillId="9" borderId="0" xfId="0" applyFont="1" applyFill="1"/>
    <xf numFmtId="0" fontId="43" fillId="2" borderId="0" xfId="0" applyFont="1" applyFill="1"/>
    <xf numFmtId="2" fontId="44" fillId="2" borderId="0" xfId="0" applyNumberFormat="1" applyFont="1" applyFill="1"/>
    <xf numFmtId="2" fontId="43" fillId="2" borderId="0" xfId="0" applyNumberFormat="1" applyFont="1" applyFill="1"/>
    <xf numFmtId="2" fontId="44" fillId="2" borderId="0" xfId="0" applyNumberFormat="1" applyFont="1" applyFill="1" applyAlignment="1">
      <alignment wrapText="1"/>
    </xf>
    <xf numFmtId="0" fontId="43" fillId="9" borderId="0" xfId="0" applyFont="1" applyFill="1"/>
    <xf numFmtId="2" fontId="44" fillId="9" borderId="0" xfId="0" applyNumberFormat="1" applyFont="1" applyFill="1"/>
    <xf numFmtId="2" fontId="43" fillId="9" borderId="0" xfId="0" applyNumberFormat="1" applyFont="1" applyFill="1"/>
    <xf numFmtId="2" fontId="44" fillId="9" borderId="0" xfId="0" applyNumberFormat="1" applyFont="1" applyFill="1" applyAlignment="1">
      <alignment wrapText="1"/>
    </xf>
    <xf numFmtId="0" fontId="4" fillId="6" borderId="0" xfId="0" applyFont="1" applyFill="1" applyAlignment="1">
      <alignment wrapText="1"/>
    </xf>
    <xf numFmtId="0" fontId="6" fillId="7" borderId="0" xfId="0" applyFont="1" applyFill="1" applyAlignment="1">
      <alignment wrapText="1"/>
    </xf>
    <xf numFmtId="2" fontId="13" fillId="7" borderId="0" xfId="0" applyNumberFormat="1" applyFont="1" applyFill="1"/>
    <xf numFmtId="2" fontId="3" fillId="3" borderId="0" xfId="0" applyNumberFormat="1" applyFont="1" applyFill="1"/>
    <xf numFmtId="0" fontId="27" fillId="2" borderId="0" xfId="0" applyFont="1" applyFill="1"/>
    <xf numFmtId="0" fontId="27" fillId="11" borderId="0" xfId="0" applyFont="1" applyFill="1"/>
    <xf numFmtId="0" fontId="17" fillId="11" borderId="0" xfId="0" applyFont="1" applyFill="1"/>
    <xf numFmtId="0" fontId="27" fillId="5" borderId="0" xfId="0" applyFont="1" applyFill="1"/>
    <xf numFmtId="2" fontId="27" fillId="5" borderId="0" xfId="0" applyNumberFormat="1" applyFont="1" applyFill="1"/>
    <xf numFmtId="0" fontId="46" fillId="13" borderId="0" xfId="0" applyFont="1" applyFill="1"/>
    <xf numFmtId="0" fontId="33" fillId="2" borderId="0" xfId="0" applyFont="1" applyFill="1"/>
    <xf numFmtId="0" fontId="33" fillId="9" borderId="0" xfId="0" applyFont="1" applyFill="1"/>
    <xf numFmtId="0" fontId="12" fillId="3" borderId="0" xfId="0" applyFont="1" applyFill="1" applyAlignment="1">
      <alignment horizontal="center"/>
    </xf>
    <xf numFmtId="0" fontId="47" fillId="9" borderId="0" xfId="0" applyFont="1" applyFill="1"/>
    <xf numFmtId="0" fontId="42" fillId="10" borderId="0" xfId="0" applyFont="1" applyFill="1"/>
    <xf numFmtId="0" fontId="34" fillId="8" borderId="0" xfId="0" applyFont="1" applyFill="1"/>
    <xf numFmtId="0" fontId="21" fillId="13" borderId="0" xfId="0" applyFont="1" applyFill="1" applyAlignment="1">
      <alignment wrapText="1"/>
    </xf>
    <xf numFmtId="0" fontId="20" fillId="13" borderId="0" xfId="0" applyFont="1" applyFill="1" applyAlignment="1">
      <alignment wrapText="1"/>
    </xf>
    <xf numFmtId="0" fontId="9" fillId="4" borderId="0" xfId="0" applyFont="1" applyFill="1"/>
    <xf numFmtId="0" fontId="9" fillId="4" borderId="0" xfId="0" applyFont="1" applyFill="1" applyAlignment="1">
      <alignment wrapText="1"/>
    </xf>
    <xf numFmtId="0" fontId="45" fillId="9" borderId="0" xfId="0" applyFont="1" applyFill="1"/>
    <xf numFmtId="0" fontId="45" fillId="9" borderId="0" xfId="0" applyFont="1" applyFill="1" applyAlignment="1">
      <alignment wrapText="1"/>
    </xf>
    <xf numFmtId="0" fontId="38" fillId="6" borderId="0" xfId="0" applyFont="1" applyFill="1"/>
    <xf numFmtId="0" fontId="38" fillId="6" borderId="0" xfId="0" applyFont="1" applyFill="1" applyAlignment="1">
      <alignment wrapText="1"/>
    </xf>
    <xf numFmtId="0" fontId="4" fillId="6" borderId="0" xfId="0" applyFont="1" applyFill="1"/>
    <xf numFmtId="0" fontId="4" fillId="6" borderId="0" xfId="0" applyFont="1" applyFill="1" applyAlignment="1">
      <alignment wrapText="1"/>
    </xf>
    <xf numFmtId="0" fontId="7" fillId="5" borderId="0" xfId="0" applyFont="1" applyFill="1" applyAlignment="1">
      <alignment vertical="top" wrapText="1"/>
    </xf>
    <xf numFmtId="0" fontId="39" fillId="17" borderId="1" xfId="0" applyFont="1" applyFill="1" applyBorder="1" applyAlignment="1">
      <alignment horizontal="left" vertical="top" wrapText="1"/>
    </xf>
    <xf numFmtId="0" fontId="29" fillId="7" borderId="0" xfId="0" applyFont="1" applyFill="1" applyAlignment="1">
      <alignment wrapText="1"/>
    </xf>
    <xf numFmtId="0" fontId="40" fillId="7" borderId="0" xfId="0" applyFont="1" applyFill="1" applyAlignment="1">
      <alignment wrapText="1"/>
    </xf>
    <xf numFmtId="0" fontId="24" fillId="6" borderId="0" xfId="0" applyFont="1" applyFill="1" applyAlignment="1">
      <alignment wrapText="1"/>
    </xf>
    <xf numFmtId="0" fontId="35" fillId="10" borderId="0" xfId="0" applyFont="1" applyFill="1" applyAlignment="1">
      <alignment wrapText="1"/>
    </xf>
    <xf numFmtId="0" fontId="25" fillId="11" borderId="0" xfId="0" applyFont="1" applyFill="1"/>
    <xf numFmtId="0" fontId="21" fillId="9" borderId="0" xfId="0" applyFont="1" applyFill="1" applyAlignment="1">
      <alignment wrapText="1"/>
    </xf>
    <xf numFmtId="0" fontId="25" fillId="9" borderId="0" xfId="0" applyFont="1" applyFill="1"/>
    <xf numFmtId="2" fontId="30" fillId="5" borderId="0" xfId="0" applyNumberFormat="1" applyFont="1" applyFill="1" applyAlignment="1">
      <alignment horizontal="center"/>
    </xf>
    <xf numFmtId="0" fontId="30" fillId="5" borderId="0" xfId="0" applyFont="1" applyFill="1" applyAlignment="1">
      <alignment horizontal="center"/>
    </xf>
    <xf numFmtId="0" fontId="21" fillId="9" borderId="0" xfId="0" applyFont="1" applyFill="1" applyAlignment="1">
      <alignment horizontal="left" wrapText="1"/>
    </xf>
    <xf numFmtId="0" fontId="42" fillId="13" borderId="0" xfId="0" applyFont="1" applyFill="1" applyAlignment="1">
      <alignment horizontal="left" wrapText="1"/>
    </xf>
    <xf numFmtId="2" fontId="13" fillId="11" borderId="0" xfId="0" applyNumberFormat="1" applyFont="1" applyFill="1" applyAlignment="1">
      <alignment horizontal="center"/>
    </xf>
    <xf numFmtId="0" fontId="13" fillId="11" borderId="0" xfId="0" applyFont="1" applyFill="1" applyAlignment="1">
      <alignment horizontal="center"/>
    </xf>
    <xf numFmtId="2" fontId="13" fillId="9" borderId="0" xfId="0" applyNumberFormat="1" applyFont="1" applyFill="1" applyAlignment="1">
      <alignment horizontal="center"/>
    </xf>
    <xf numFmtId="0" fontId="13" fillId="9" borderId="0" xfId="0" applyFont="1" applyFill="1" applyAlignment="1">
      <alignment horizontal="center"/>
    </xf>
    <xf numFmtId="1" fontId="16" fillId="5" borderId="0" xfId="0" applyNumberFormat="1" applyFont="1" applyFill="1" applyAlignment="1">
      <alignment horizontal="center"/>
    </xf>
    <xf numFmtId="0" fontId="16" fillId="5" borderId="0" xfId="0" applyFont="1" applyFill="1" applyAlignment="1">
      <alignment horizontal="center"/>
    </xf>
    <xf numFmtId="3" fontId="25" fillId="11" borderId="0" xfId="0" applyNumberFormat="1" applyFont="1" applyFill="1" applyAlignment="1">
      <alignment horizontal="center"/>
    </xf>
    <xf numFmtId="0" fontId="25" fillId="11" borderId="0" xfId="0" applyFont="1" applyFill="1" applyAlignment="1">
      <alignment horizontal="center"/>
    </xf>
    <xf numFmtId="0" fontId="4" fillId="4" borderId="0" xfId="0" applyFont="1" applyFill="1" applyAlignment="1">
      <alignment wrapText="1"/>
    </xf>
    <xf numFmtId="0" fontId="23" fillId="10" borderId="0" xfId="0" applyFont="1" applyFill="1" applyAlignment="1">
      <alignment wrapText="1"/>
    </xf>
    <xf numFmtId="0" fontId="21" fillId="10" borderId="0" xfId="0" applyFont="1" applyFill="1" applyAlignment="1">
      <alignment wrapText="1"/>
    </xf>
    <xf numFmtId="0" fontId="4" fillId="4" borderId="0" xfId="0" applyFont="1" applyFill="1"/>
    <xf numFmtId="0" fontId="22" fillId="10" borderId="0" xfId="0" applyFont="1" applyFill="1" applyAlignment="1">
      <alignment wrapText="1"/>
    </xf>
    <xf numFmtId="0" fontId="20" fillId="10" borderId="0" xfId="0" applyFont="1" applyFill="1" applyAlignment="1">
      <alignment wrapText="1"/>
    </xf>
    <xf numFmtId="0" fontId="11" fillId="6" borderId="0" xfId="0" applyFont="1" applyFill="1"/>
    <xf numFmtId="0" fontId="20" fillId="9" borderId="0" xfId="0" applyFont="1" applyFill="1" applyAlignment="1">
      <alignment wrapText="1"/>
    </xf>
    <xf numFmtId="0" fontId="2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68878</xdr:colOff>
      <xdr:row>0</xdr:row>
      <xdr:rowOff>1270</xdr:rowOff>
    </xdr:from>
    <xdr:to>
      <xdr:col>2</xdr:col>
      <xdr:colOff>498342</xdr:colOff>
      <xdr:row>3</xdr:row>
      <xdr:rowOff>7040</xdr:rowOff>
    </xdr:to>
    <xdr:pic>
      <xdr:nvPicPr>
        <xdr:cNvPr id="2" name="Grafik 3">
          <a:extLst>
            <a:ext uri="{FF2B5EF4-FFF2-40B4-BE49-F238E27FC236}">
              <a16:creationId xmlns:a16="http://schemas.microsoft.com/office/drawing/2014/main" id="{6947460B-B505-4255-B2EF-4F3F54A5B7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878" y="1270"/>
          <a:ext cx="1703274" cy="562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56"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4B77B43-35F5-417B-A1BD-A81532922C96}">
  <we:reference id="WA200009404" version="1.0.0.8" store="Omex" storeType="OMEX"/>
  <we:alternateReferences>
    <we:reference id="WA200009404" version="1.0.0.8" store="WA200009404" storeType="OMEX"/>
  </we:alternateReferences>
  <we:properties>
    <we:property name="claude.fileId" value="&quot;fd53d3b0-dc4a-48d8-9395-a11282523cc5&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C69D-0DAC-4159-AB36-3BCD3FC08394}">
  <sheetPr>
    <tabColor rgb="FF213338"/>
  </sheetPr>
  <dimension ref="A4:O8"/>
  <sheetViews>
    <sheetView tabSelected="1" workbookViewId="0">
      <selection activeCell="K22" sqref="K22"/>
    </sheetView>
  </sheetViews>
  <sheetFormatPr defaultColWidth="13.77734375" defaultRowHeight="14.4" x14ac:dyDescent="0.3"/>
  <cols>
    <col min="1" max="1" width="5.5546875" style="115" customWidth="1"/>
    <col min="2" max="2" width="13" style="115" customWidth="1"/>
    <col min="3" max="3" width="25.6640625" style="115" customWidth="1"/>
    <col min="4" max="4" width="9.21875" style="115" customWidth="1"/>
    <col min="5" max="5" width="7" style="115" customWidth="1"/>
    <col min="6" max="6" width="13.77734375" style="115"/>
    <col min="7" max="7" width="20.21875" style="115" customWidth="1"/>
    <col min="8" max="14" width="13.77734375" style="115"/>
    <col min="15" max="15" width="2.109375" style="115" customWidth="1"/>
    <col min="16" max="16384" width="13.77734375" style="115"/>
  </cols>
  <sheetData>
    <row r="4" spans="1:15" ht="28.05" customHeight="1" x14ac:dyDescent="0.3">
      <c r="A4" s="112"/>
      <c r="B4" s="112"/>
      <c r="C4" s="113" t="s">
        <v>332</v>
      </c>
      <c r="D4" s="112"/>
      <c r="E4" s="114"/>
      <c r="F4" s="112"/>
      <c r="G4" s="112"/>
      <c r="H4" s="112"/>
      <c r="I4" s="112"/>
      <c r="J4" s="112"/>
      <c r="K4" s="112"/>
      <c r="L4" s="112"/>
      <c r="M4" s="112"/>
      <c r="N4" s="112"/>
      <c r="O4" s="112"/>
    </row>
    <row r="5" spans="1:15" ht="18" customHeight="1" x14ac:dyDescent="0.3">
      <c r="A5" s="19"/>
      <c r="B5" s="19"/>
      <c r="C5" s="19"/>
      <c r="D5" s="19"/>
      <c r="E5" s="19"/>
      <c r="F5" s="19"/>
      <c r="G5" s="19"/>
      <c r="H5" s="19"/>
      <c r="I5" s="19"/>
      <c r="J5" s="19"/>
      <c r="K5" s="19"/>
      <c r="L5" s="19"/>
      <c r="M5" s="19"/>
      <c r="N5" s="19"/>
      <c r="O5" s="19"/>
    </row>
    <row r="6" spans="1:15" ht="30" customHeight="1" x14ac:dyDescent="0.3">
      <c r="A6" s="116"/>
      <c r="B6" s="116"/>
      <c r="C6" s="117" t="s">
        <v>297</v>
      </c>
      <c r="D6" s="116"/>
      <c r="E6" s="116"/>
      <c r="F6" s="116"/>
      <c r="G6" s="116"/>
      <c r="H6" s="116"/>
      <c r="I6" s="116"/>
      <c r="J6" s="116"/>
      <c r="K6" s="116"/>
      <c r="L6" s="116"/>
      <c r="M6" s="116"/>
      <c r="N6" s="116"/>
      <c r="O6" s="116"/>
    </row>
    <row r="7" spans="1:15" ht="409.2" customHeight="1" x14ac:dyDescent="0.3">
      <c r="A7" s="156" t="s">
        <v>298</v>
      </c>
      <c r="B7" s="156"/>
      <c r="C7" s="156"/>
      <c r="D7" s="156"/>
      <c r="E7" s="156"/>
      <c r="F7" s="156"/>
      <c r="G7" s="156"/>
      <c r="H7" s="156"/>
      <c r="I7" s="156"/>
      <c r="J7" s="156"/>
      <c r="K7" s="156"/>
      <c r="L7" s="156"/>
      <c r="M7" s="156"/>
      <c r="N7" s="156"/>
      <c r="O7" s="156"/>
    </row>
    <row r="8" spans="1:15" ht="44.4" customHeight="1" x14ac:dyDescent="0.3">
      <c r="A8" s="156"/>
      <c r="B8" s="156"/>
      <c r="C8" s="156"/>
      <c r="D8" s="156"/>
      <c r="E8" s="156"/>
      <c r="F8" s="156"/>
      <c r="G8" s="156"/>
      <c r="H8" s="156"/>
      <c r="I8" s="156"/>
      <c r="J8" s="156"/>
      <c r="K8" s="156"/>
      <c r="L8" s="156"/>
      <c r="M8" s="156"/>
      <c r="N8" s="156"/>
      <c r="O8" s="156"/>
    </row>
  </sheetData>
  <mergeCells count="1">
    <mergeCell ref="A7:O8"/>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A34BC-4A90-44CA-807C-22683821AE32}">
  <dimension ref="A1:G180"/>
  <sheetViews>
    <sheetView zoomScaleNormal="100" workbookViewId="0">
      <selection activeCell="F15" sqref="F15"/>
    </sheetView>
  </sheetViews>
  <sheetFormatPr defaultRowHeight="14.4" x14ac:dyDescent="0.3"/>
  <cols>
    <col min="1" max="1" width="40.109375" bestFit="1" customWidth="1"/>
    <col min="2" max="2" width="12.33203125" bestFit="1" customWidth="1"/>
    <col min="3" max="3" width="22.33203125" bestFit="1" customWidth="1"/>
    <col min="4" max="4" width="22.109375" bestFit="1" customWidth="1"/>
    <col min="5" max="5" width="23.21875" bestFit="1" customWidth="1"/>
    <col min="6" max="6" width="23.5546875" bestFit="1" customWidth="1"/>
    <col min="7" max="7" width="124.77734375" bestFit="1" customWidth="1"/>
  </cols>
  <sheetData>
    <row r="1" spans="1:7" ht="21" x14ac:dyDescent="0.4">
      <c r="A1" s="147" t="s">
        <v>175</v>
      </c>
      <c r="B1" s="147"/>
      <c r="C1" s="147"/>
      <c r="D1" s="147"/>
      <c r="E1" s="147"/>
      <c r="F1" s="147"/>
      <c r="G1" s="148"/>
    </row>
    <row r="2" spans="1:7" x14ac:dyDescent="0.3">
      <c r="A2" s="149" t="s">
        <v>343</v>
      </c>
      <c r="B2" s="149"/>
      <c r="C2" s="149"/>
      <c r="D2" s="149"/>
      <c r="E2" s="149"/>
      <c r="F2" s="149"/>
      <c r="G2" s="150"/>
    </row>
    <row r="3" spans="1:7" x14ac:dyDescent="0.3">
      <c r="A3" s="149" t="s">
        <v>83</v>
      </c>
      <c r="B3" s="149"/>
      <c r="C3" s="149"/>
      <c r="D3" s="149"/>
      <c r="E3" s="149"/>
      <c r="F3" s="149"/>
      <c r="G3" s="150"/>
    </row>
    <row r="4" spans="1:7" x14ac:dyDescent="0.3">
      <c r="A4" s="142" t="s">
        <v>331</v>
      </c>
      <c r="B4" s="8"/>
      <c r="C4" s="8"/>
      <c r="D4" s="8"/>
      <c r="E4" s="8"/>
      <c r="F4" s="8"/>
      <c r="G4" s="1"/>
    </row>
    <row r="5" spans="1:7" ht="17.399999999999999" x14ac:dyDescent="0.35">
      <c r="A5" s="151" t="s">
        <v>117</v>
      </c>
      <c r="B5" s="151"/>
      <c r="C5" s="151"/>
      <c r="D5" s="151"/>
      <c r="E5" s="151"/>
      <c r="F5" s="151"/>
      <c r="G5" s="152"/>
    </row>
    <row r="6" spans="1:7" x14ac:dyDescent="0.3">
      <c r="A6" s="14" t="s">
        <v>0</v>
      </c>
      <c r="B6" s="15" t="s">
        <v>1</v>
      </c>
      <c r="C6" s="15" t="s">
        <v>84</v>
      </c>
      <c r="D6" s="15" t="s">
        <v>79</v>
      </c>
      <c r="E6" s="15" t="s">
        <v>80</v>
      </c>
      <c r="F6" s="15" t="s">
        <v>337</v>
      </c>
      <c r="G6" s="40" t="s">
        <v>85</v>
      </c>
    </row>
    <row r="7" spans="1:7" x14ac:dyDescent="0.3">
      <c r="A7" s="22" t="s">
        <v>5</v>
      </c>
      <c r="B7" s="22" t="s">
        <v>3</v>
      </c>
      <c r="C7" s="23" t="s">
        <v>113</v>
      </c>
      <c r="D7" s="23" t="s">
        <v>111</v>
      </c>
      <c r="E7" s="23" t="s">
        <v>112</v>
      </c>
      <c r="F7" s="23" t="s">
        <v>341</v>
      </c>
      <c r="G7" s="24"/>
    </row>
    <row r="8" spans="1:7" x14ac:dyDescent="0.3">
      <c r="A8" s="17" t="s">
        <v>2</v>
      </c>
      <c r="B8" s="17" t="s">
        <v>3</v>
      </c>
      <c r="C8" s="46" t="s">
        <v>123</v>
      </c>
      <c r="D8" s="46" t="s">
        <v>124</v>
      </c>
      <c r="E8" s="46" t="s">
        <v>125</v>
      </c>
      <c r="F8" s="46" t="s">
        <v>126</v>
      </c>
      <c r="G8" s="25" t="s">
        <v>4</v>
      </c>
    </row>
    <row r="9" spans="1:7" x14ac:dyDescent="0.3">
      <c r="A9" s="22" t="s">
        <v>116</v>
      </c>
      <c r="B9" s="22" t="s">
        <v>127</v>
      </c>
      <c r="C9" s="67">
        <v>185000000</v>
      </c>
      <c r="D9" s="67">
        <v>420000000</v>
      </c>
      <c r="E9" s="67">
        <v>95000000</v>
      </c>
      <c r="F9" s="67">
        <v>62000000</v>
      </c>
      <c r="G9" s="24" t="s">
        <v>128</v>
      </c>
    </row>
    <row r="10" spans="1:7" x14ac:dyDescent="0.3">
      <c r="A10" s="17" t="s">
        <v>8</v>
      </c>
      <c r="B10" s="17" t="s">
        <v>3</v>
      </c>
      <c r="C10" s="16" t="s">
        <v>86</v>
      </c>
      <c r="D10" s="16" t="s">
        <v>75</v>
      </c>
      <c r="E10" s="16" t="s">
        <v>64</v>
      </c>
      <c r="F10" s="16" t="s">
        <v>333</v>
      </c>
      <c r="G10" s="25"/>
    </row>
    <row r="11" spans="1:7" ht="24.6" x14ac:dyDescent="0.3">
      <c r="A11" s="17" t="s">
        <v>6</v>
      </c>
      <c r="B11" s="17" t="s">
        <v>7</v>
      </c>
      <c r="C11" s="47">
        <v>10005</v>
      </c>
      <c r="D11" s="47">
        <v>999077</v>
      </c>
      <c r="E11" s="47" t="s">
        <v>129</v>
      </c>
      <c r="F11" s="47" t="s">
        <v>344</v>
      </c>
      <c r="G11" s="25" t="s">
        <v>241</v>
      </c>
    </row>
    <row r="12" spans="1:7" x14ac:dyDescent="0.3">
      <c r="A12" s="22" t="s">
        <v>9</v>
      </c>
      <c r="B12" s="22" t="s">
        <v>3</v>
      </c>
      <c r="C12" s="23" t="s">
        <v>65</v>
      </c>
      <c r="D12" s="23" t="s">
        <v>211</v>
      </c>
      <c r="E12" s="23" t="s">
        <v>66</v>
      </c>
      <c r="F12" s="23" t="s">
        <v>213</v>
      </c>
      <c r="G12" s="24" t="s">
        <v>87</v>
      </c>
    </row>
    <row r="13" spans="1:7" x14ac:dyDescent="0.3">
      <c r="A13" s="17" t="s">
        <v>88</v>
      </c>
      <c r="B13" s="17" t="s">
        <v>89</v>
      </c>
      <c r="C13" s="16" t="s">
        <v>67</v>
      </c>
      <c r="D13" s="16" t="s">
        <v>67</v>
      </c>
      <c r="E13" s="16" t="s">
        <v>247</v>
      </c>
      <c r="F13" s="16" t="s">
        <v>67</v>
      </c>
      <c r="G13" s="25" t="s">
        <v>90</v>
      </c>
    </row>
    <row r="14" spans="1:7" x14ac:dyDescent="0.3">
      <c r="A14" s="22" t="s">
        <v>10</v>
      </c>
      <c r="B14" s="22" t="s">
        <v>11</v>
      </c>
      <c r="C14" s="31">
        <v>2024</v>
      </c>
      <c r="D14" s="31">
        <v>2024</v>
      </c>
      <c r="E14" s="31">
        <v>2024</v>
      </c>
      <c r="F14" s="31">
        <v>2024</v>
      </c>
      <c r="G14" s="24" t="s">
        <v>91</v>
      </c>
    </row>
    <row r="15" spans="1:7" x14ac:dyDescent="0.3">
      <c r="A15" s="17" t="s">
        <v>12</v>
      </c>
      <c r="B15" s="17" t="s">
        <v>13</v>
      </c>
      <c r="C15" s="32">
        <v>7500</v>
      </c>
      <c r="D15" s="32">
        <v>22000</v>
      </c>
      <c r="E15" s="32">
        <v>12000</v>
      </c>
      <c r="F15" s="32">
        <v>15000</v>
      </c>
      <c r="G15" s="25" t="s">
        <v>92</v>
      </c>
    </row>
    <row r="16" spans="1:7" x14ac:dyDescent="0.3">
      <c r="A16" s="22" t="s">
        <v>14</v>
      </c>
      <c r="B16" s="22" t="s">
        <v>15</v>
      </c>
      <c r="C16" s="26">
        <v>570000</v>
      </c>
      <c r="D16" s="26">
        <v>2800000</v>
      </c>
      <c r="E16" s="26">
        <v>1100000</v>
      </c>
      <c r="F16" s="26">
        <v>741000</v>
      </c>
      <c r="G16" s="24" t="s">
        <v>131</v>
      </c>
    </row>
    <row r="17" spans="1:7" x14ac:dyDescent="0.3">
      <c r="A17" s="17" t="s">
        <v>16</v>
      </c>
      <c r="B17" s="17" t="s">
        <v>15</v>
      </c>
      <c r="C17" s="32">
        <v>0</v>
      </c>
      <c r="D17" s="32">
        <v>320000</v>
      </c>
      <c r="E17" s="32">
        <v>480000</v>
      </c>
      <c r="F17" s="32">
        <v>0</v>
      </c>
      <c r="G17" s="25" t="s">
        <v>114</v>
      </c>
    </row>
    <row r="18" spans="1:7" x14ac:dyDescent="0.3">
      <c r="A18" s="22" t="s">
        <v>17</v>
      </c>
      <c r="B18" s="22" t="s">
        <v>15</v>
      </c>
      <c r="C18" s="26">
        <v>0</v>
      </c>
      <c r="D18" s="26">
        <v>0</v>
      </c>
      <c r="E18" s="26">
        <v>0</v>
      </c>
      <c r="F18" s="26">
        <v>0</v>
      </c>
      <c r="G18" s="24"/>
    </row>
    <row r="19" spans="1:7" x14ac:dyDescent="0.3">
      <c r="A19" s="17" t="s">
        <v>18</v>
      </c>
      <c r="B19" s="17" t="s">
        <v>15</v>
      </c>
      <c r="C19" s="32">
        <v>620000</v>
      </c>
      <c r="D19" s="32">
        <v>0</v>
      </c>
      <c r="E19" s="32">
        <v>0</v>
      </c>
      <c r="F19" s="32">
        <v>0</v>
      </c>
      <c r="G19" s="25" t="s">
        <v>132</v>
      </c>
    </row>
    <row r="20" spans="1:7" x14ac:dyDescent="0.3">
      <c r="A20" s="22" t="s">
        <v>19</v>
      </c>
      <c r="B20" s="22" t="s">
        <v>15</v>
      </c>
      <c r="C20" s="26">
        <v>0</v>
      </c>
      <c r="D20" s="26">
        <v>2000000</v>
      </c>
      <c r="E20" s="26">
        <v>0</v>
      </c>
      <c r="F20" s="26">
        <v>0</v>
      </c>
      <c r="G20" s="24" t="s">
        <v>133</v>
      </c>
    </row>
    <row r="21" spans="1:7" x14ac:dyDescent="0.3">
      <c r="A21" s="17" t="s">
        <v>93</v>
      </c>
      <c r="B21" s="17" t="s">
        <v>15</v>
      </c>
      <c r="C21" s="32">
        <v>0</v>
      </c>
      <c r="D21" s="32">
        <v>0</v>
      </c>
      <c r="E21" s="32">
        <v>0</v>
      </c>
      <c r="F21" s="32">
        <v>0</v>
      </c>
      <c r="G21" s="25"/>
    </row>
    <row r="22" spans="1:7" x14ac:dyDescent="0.3">
      <c r="A22" s="22" t="s">
        <v>20</v>
      </c>
      <c r="B22" s="22" t="s">
        <v>15</v>
      </c>
      <c r="C22" s="26">
        <v>0</v>
      </c>
      <c r="D22" s="26">
        <v>0</v>
      </c>
      <c r="E22" s="26">
        <v>120000</v>
      </c>
      <c r="F22" s="26">
        <v>100000</v>
      </c>
      <c r="G22" s="24" t="s">
        <v>94</v>
      </c>
    </row>
    <row r="23" spans="1:7" x14ac:dyDescent="0.3">
      <c r="A23" s="17" t="s">
        <v>21</v>
      </c>
      <c r="B23" s="17" t="s">
        <v>15</v>
      </c>
      <c r="C23" s="32">
        <v>0</v>
      </c>
      <c r="D23" s="32">
        <v>0</v>
      </c>
      <c r="E23" s="32">
        <v>60000</v>
      </c>
      <c r="F23" s="32">
        <v>180000</v>
      </c>
      <c r="G23" s="25" t="s">
        <v>95</v>
      </c>
    </row>
    <row r="24" spans="1:7" x14ac:dyDescent="0.3">
      <c r="A24" s="8"/>
      <c r="B24" s="8"/>
      <c r="C24" s="8"/>
      <c r="D24" s="8"/>
      <c r="E24" s="8"/>
      <c r="F24" s="8"/>
      <c r="G24" s="1"/>
    </row>
    <row r="25" spans="1:7" ht="17.399999999999999" x14ac:dyDescent="0.35">
      <c r="A25" s="11" t="s">
        <v>118</v>
      </c>
      <c r="B25" s="11"/>
      <c r="C25" s="11"/>
      <c r="D25" s="11"/>
      <c r="E25" s="11"/>
      <c r="F25" s="11"/>
      <c r="G25" s="129"/>
    </row>
    <row r="26" spans="1:7" x14ac:dyDescent="0.3">
      <c r="A26" s="8" t="s">
        <v>0</v>
      </c>
      <c r="B26" s="8" t="s">
        <v>1</v>
      </c>
      <c r="C26" s="8" t="s">
        <v>84</v>
      </c>
      <c r="D26" s="8" t="s">
        <v>79</v>
      </c>
      <c r="E26" s="8" t="s">
        <v>80</v>
      </c>
      <c r="F26" s="8" t="s">
        <v>337</v>
      </c>
      <c r="G26" s="1" t="s">
        <v>25</v>
      </c>
    </row>
    <row r="27" spans="1:7" x14ac:dyDescent="0.3">
      <c r="A27" s="8" t="s">
        <v>26</v>
      </c>
      <c r="B27" s="8" t="s">
        <v>15</v>
      </c>
      <c r="C27" s="69">
        <f>C16+C17+C18+C19+C20+C21+C22</f>
        <v>1190000</v>
      </c>
      <c r="D27" s="69">
        <f>D16+D17+D18+D19+D20+D21+D22</f>
        <v>5120000</v>
      </c>
      <c r="E27" s="69">
        <f>E16+E17+E18+E19+E20+E21+E22</f>
        <v>1700000</v>
      </c>
      <c r="F27" s="69">
        <f>F16+F17+F18+F19+F20+F21+F22</f>
        <v>841000</v>
      </c>
      <c r="G27" s="3" t="s">
        <v>305</v>
      </c>
    </row>
    <row r="28" spans="1:7" x14ac:dyDescent="0.3">
      <c r="A28" s="10" t="s">
        <v>27</v>
      </c>
      <c r="B28" s="10" t="s">
        <v>28</v>
      </c>
      <c r="C28" s="70">
        <f>C27/C15</f>
        <v>158.66666666666666</v>
      </c>
      <c r="D28" s="70">
        <f>D27/D15</f>
        <v>232.72727272727272</v>
      </c>
      <c r="E28" s="70">
        <f>E27/E15</f>
        <v>141.66666666666666</v>
      </c>
      <c r="F28" s="70">
        <f>F27/F15</f>
        <v>56.06666666666667</v>
      </c>
      <c r="G28" s="9" t="s">
        <v>134</v>
      </c>
    </row>
    <row r="29" spans="1:7" ht="33.6" customHeight="1" x14ac:dyDescent="0.3">
      <c r="A29" s="155" t="s">
        <v>173</v>
      </c>
      <c r="B29" s="155"/>
      <c r="C29" s="155"/>
      <c r="D29" s="155"/>
      <c r="E29" s="155"/>
      <c r="F29" s="155"/>
      <c r="G29" s="155"/>
    </row>
    <row r="30" spans="1:7" x14ac:dyDescent="0.3">
      <c r="A30" s="8"/>
      <c r="B30" s="8"/>
      <c r="C30" s="8"/>
      <c r="D30" s="8"/>
      <c r="E30" s="8"/>
      <c r="F30" s="8"/>
      <c r="G30" s="1"/>
    </row>
    <row r="31" spans="1:7" x14ac:dyDescent="0.3">
      <c r="A31" s="8"/>
      <c r="B31" s="8"/>
      <c r="C31" s="8"/>
      <c r="D31" s="8"/>
      <c r="E31" s="8"/>
      <c r="F31" s="8"/>
      <c r="G31" s="1"/>
    </row>
    <row r="32" spans="1:7" ht="17.399999999999999" x14ac:dyDescent="0.35">
      <c r="A32" s="153" t="s">
        <v>320</v>
      </c>
      <c r="B32" s="153"/>
      <c r="C32" s="153"/>
      <c r="D32" s="153"/>
      <c r="E32" s="153"/>
      <c r="F32" s="153"/>
      <c r="G32" s="154"/>
    </row>
    <row r="33" spans="1:7" x14ac:dyDescent="0.3">
      <c r="A33" s="15" t="s">
        <v>0</v>
      </c>
      <c r="B33" s="15" t="s">
        <v>1</v>
      </c>
      <c r="C33" s="15" t="s">
        <v>84</v>
      </c>
      <c r="D33" s="15" t="s">
        <v>79</v>
      </c>
      <c r="E33" s="15" t="s">
        <v>80</v>
      </c>
      <c r="F33" s="15" t="s">
        <v>337</v>
      </c>
      <c r="G33" s="40" t="s">
        <v>25</v>
      </c>
    </row>
    <row r="34" spans="1:7" x14ac:dyDescent="0.3">
      <c r="A34" s="22" t="s">
        <v>68</v>
      </c>
      <c r="B34" s="22" t="s">
        <v>30</v>
      </c>
      <c r="C34" s="33">
        <f>'Example Input'!L6</f>
        <v>0.23705494277853301</v>
      </c>
      <c r="D34" s="33">
        <f>'Example Input'!L7</f>
        <v>0.54535386277687703</v>
      </c>
      <c r="E34" s="33">
        <f>'Example Input'!L8</f>
        <v>0.14850134860521</v>
      </c>
      <c r="F34" s="33">
        <f>'Example Input'!L9</f>
        <v>0.416727272727273</v>
      </c>
      <c r="G34" s="24" t="s">
        <v>256</v>
      </c>
    </row>
    <row r="35" spans="1:7" x14ac:dyDescent="0.3">
      <c r="A35" s="17" t="s">
        <v>69</v>
      </c>
      <c r="B35" s="17" t="s">
        <v>30</v>
      </c>
      <c r="C35" s="34">
        <f>'Example Input'!G35</f>
        <v>0</v>
      </c>
      <c r="D35" s="34">
        <f>'Example Input'!H35</f>
        <v>0.18315999999999999</v>
      </c>
      <c r="E35" s="34">
        <f>'Example Input'!H35</f>
        <v>0.18315999999999999</v>
      </c>
      <c r="F35" s="34">
        <f>0</f>
        <v>0</v>
      </c>
      <c r="G35" s="25" t="s">
        <v>257</v>
      </c>
    </row>
    <row r="36" spans="1:7" ht="24.6" x14ac:dyDescent="0.3">
      <c r="A36" s="22" t="s">
        <v>96</v>
      </c>
      <c r="B36" s="22" t="s">
        <v>30</v>
      </c>
      <c r="C36" s="33">
        <f>'Example Input'!H37</f>
        <v>0.20430999999999999</v>
      </c>
      <c r="D36" s="33">
        <f>0</f>
        <v>0</v>
      </c>
      <c r="E36" s="33">
        <f>0</f>
        <v>0</v>
      </c>
      <c r="F36" s="33">
        <f>0</f>
        <v>0</v>
      </c>
      <c r="G36" s="24" t="s">
        <v>258</v>
      </c>
    </row>
    <row r="37" spans="1:7" x14ac:dyDescent="0.3">
      <c r="A37" s="17" t="s">
        <v>97</v>
      </c>
      <c r="B37" s="17" t="s">
        <v>30</v>
      </c>
      <c r="C37" s="34">
        <f>0</f>
        <v>0</v>
      </c>
      <c r="D37" s="34">
        <v>0.38</v>
      </c>
      <c r="E37" s="34">
        <f>0</f>
        <v>0</v>
      </c>
      <c r="F37" s="34">
        <f>0</f>
        <v>0</v>
      </c>
      <c r="G37" s="25" t="s">
        <v>98</v>
      </c>
    </row>
    <row r="38" spans="1:7" x14ac:dyDescent="0.3">
      <c r="A38" s="22" t="s">
        <v>81</v>
      </c>
      <c r="B38" s="22" t="s">
        <v>30</v>
      </c>
      <c r="C38" s="33">
        <f>0</f>
        <v>0</v>
      </c>
      <c r="D38" s="33">
        <f>0</f>
        <v>0</v>
      </c>
      <c r="E38" s="33">
        <f>0</f>
        <v>0</v>
      </c>
      <c r="F38" s="33">
        <f>0</f>
        <v>0</v>
      </c>
      <c r="G38" s="24" t="s">
        <v>99</v>
      </c>
    </row>
    <row r="39" spans="1:7" x14ac:dyDescent="0.3">
      <c r="A39" s="8"/>
      <c r="B39" s="8"/>
      <c r="C39" s="8"/>
      <c r="D39" s="8"/>
      <c r="E39" s="8"/>
      <c r="F39" s="8"/>
      <c r="G39" s="1"/>
    </row>
    <row r="40" spans="1:7" x14ac:dyDescent="0.3">
      <c r="A40" s="8"/>
      <c r="B40" s="8"/>
      <c r="C40" s="8"/>
      <c r="D40" s="8"/>
      <c r="E40" s="8"/>
      <c r="F40" s="8"/>
      <c r="G40" s="1"/>
    </row>
    <row r="41" spans="1:7" ht="17.399999999999999" x14ac:dyDescent="0.35">
      <c r="A41" s="153" t="s">
        <v>119</v>
      </c>
      <c r="B41" s="153"/>
      <c r="C41" s="153"/>
      <c r="D41" s="153"/>
      <c r="E41" s="153"/>
      <c r="F41" s="153"/>
      <c r="G41" s="154"/>
    </row>
    <row r="42" spans="1:7" x14ac:dyDescent="0.3">
      <c r="A42" s="15" t="s">
        <v>0</v>
      </c>
      <c r="B42" s="15" t="s">
        <v>1</v>
      </c>
      <c r="C42" s="15" t="s">
        <v>84</v>
      </c>
      <c r="D42" s="15" t="s">
        <v>79</v>
      </c>
      <c r="E42" s="15" t="s">
        <v>80</v>
      </c>
      <c r="F42" s="15" t="s">
        <v>337</v>
      </c>
      <c r="G42" s="40" t="s">
        <v>25</v>
      </c>
    </row>
    <row r="43" spans="1:7" x14ac:dyDescent="0.3">
      <c r="A43" s="22" t="s">
        <v>31</v>
      </c>
      <c r="B43" s="22" t="s">
        <v>32</v>
      </c>
      <c r="C43" s="36">
        <f t="shared" ref="C43:F44" si="0">C16*C34</f>
        <v>135121.31738376382</v>
      </c>
      <c r="D43" s="36">
        <f t="shared" si="0"/>
        <v>1526990.8157752557</v>
      </c>
      <c r="E43" s="36">
        <f t="shared" si="0"/>
        <v>163351.483465731</v>
      </c>
      <c r="F43" s="36">
        <f t="shared" si="0"/>
        <v>308794.90909090929</v>
      </c>
      <c r="G43" s="24" t="s">
        <v>82</v>
      </c>
    </row>
    <row r="44" spans="1:7" x14ac:dyDescent="0.3">
      <c r="A44" s="17" t="s">
        <v>33</v>
      </c>
      <c r="B44" s="17" t="s">
        <v>32</v>
      </c>
      <c r="C44" s="38">
        <f t="shared" si="0"/>
        <v>0</v>
      </c>
      <c r="D44" s="38">
        <f t="shared" si="0"/>
        <v>58611.199999999997</v>
      </c>
      <c r="E44" s="38">
        <f t="shared" si="0"/>
        <v>87916.799999999988</v>
      </c>
      <c r="F44" s="38">
        <f t="shared" si="0"/>
        <v>0</v>
      </c>
      <c r="G44" s="25" t="s">
        <v>115</v>
      </c>
    </row>
    <row r="45" spans="1:7" x14ac:dyDescent="0.3">
      <c r="A45" s="22" t="s">
        <v>34</v>
      </c>
      <c r="B45" s="22" t="s">
        <v>32</v>
      </c>
      <c r="C45" s="36">
        <f>C18*0</f>
        <v>0</v>
      </c>
      <c r="D45" s="36">
        <f>D18*0</f>
        <v>0</v>
      </c>
      <c r="E45" s="36">
        <f>E18*0</f>
        <v>0</v>
      </c>
      <c r="F45" s="36">
        <f>F18*0</f>
        <v>0</v>
      </c>
      <c r="G45" s="24" t="s">
        <v>101</v>
      </c>
    </row>
    <row r="46" spans="1:7" x14ac:dyDescent="0.3">
      <c r="A46" s="17" t="s">
        <v>35</v>
      </c>
      <c r="B46" s="17" t="s">
        <v>32</v>
      </c>
      <c r="C46" s="38">
        <f t="shared" ref="C46:F47" si="1">C19*C36</f>
        <v>126672.2</v>
      </c>
      <c r="D46" s="38">
        <f t="shared" si="1"/>
        <v>0</v>
      </c>
      <c r="E46" s="38">
        <f t="shared" si="1"/>
        <v>0</v>
      </c>
      <c r="F46" s="38">
        <f t="shared" si="1"/>
        <v>0</v>
      </c>
      <c r="G46" s="25" t="s">
        <v>102</v>
      </c>
    </row>
    <row r="47" spans="1:7" x14ac:dyDescent="0.3">
      <c r="A47" s="22" t="s">
        <v>36</v>
      </c>
      <c r="B47" s="22" t="s">
        <v>32</v>
      </c>
      <c r="C47" s="36">
        <f t="shared" si="1"/>
        <v>0</v>
      </c>
      <c r="D47" s="36">
        <f t="shared" si="1"/>
        <v>760000</v>
      </c>
      <c r="E47" s="36">
        <f t="shared" si="1"/>
        <v>0</v>
      </c>
      <c r="F47" s="36">
        <f t="shared" si="1"/>
        <v>0</v>
      </c>
      <c r="G47" s="24" t="s">
        <v>103</v>
      </c>
    </row>
    <row r="48" spans="1:7" x14ac:dyDescent="0.3">
      <c r="A48" s="17" t="s">
        <v>104</v>
      </c>
      <c r="B48" s="17" t="s">
        <v>32</v>
      </c>
      <c r="C48" s="38">
        <f>C21*0</f>
        <v>0</v>
      </c>
      <c r="D48" s="38">
        <f>D21*0</f>
        <v>0</v>
      </c>
      <c r="E48" s="38">
        <f>E21*0</f>
        <v>0</v>
      </c>
      <c r="F48" s="38">
        <f>F21*0</f>
        <v>0</v>
      </c>
      <c r="G48" s="25" t="s">
        <v>105</v>
      </c>
    </row>
    <row r="49" spans="1:7" x14ac:dyDescent="0.3">
      <c r="A49" s="22" t="s">
        <v>37</v>
      </c>
      <c r="B49" s="22" t="s">
        <v>32</v>
      </c>
      <c r="C49" s="36">
        <f>C22*C38</f>
        <v>0</v>
      </c>
      <c r="D49" s="36">
        <f>D22*D38</f>
        <v>0</v>
      </c>
      <c r="E49" s="36">
        <f>E22*E38</f>
        <v>0</v>
      </c>
      <c r="F49" s="36">
        <f>F22*F38</f>
        <v>0</v>
      </c>
      <c r="G49" s="24" t="s">
        <v>106</v>
      </c>
    </row>
    <row r="50" spans="1:7" x14ac:dyDescent="0.3">
      <c r="A50" s="30" t="s">
        <v>107</v>
      </c>
      <c r="B50" s="30" t="s">
        <v>32</v>
      </c>
      <c r="C50" s="39">
        <f>SUM(C43:C49)</f>
        <v>261793.5173837638</v>
      </c>
      <c r="D50" s="39">
        <f>SUM(D43:D49)</f>
        <v>2345602.0157752559</v>
      </c>
      <c r="E50" s="39">
        <f>SUM(E43:E49)</f>
        <v>251268.28346573099</v>
      </c>
      <c r="F50" s="39">
        <f>SUM(F43:F49)</f>
        <v>308794.90909090929</v>
      </c>
      <c r="G50" s="41" t="s">
        <v>306</v>
      </c>
    </row>
    <row r="51" spans="1:7" x14ac:dyDescent="0.3">
      <c r="A51" s="17" t="s">
        <v>38</v>
      </c>
      <c r="B51" s="17" t="s">
        <v>32</v>
      </c>
      <c r="C51" s="38">
        <f>C23*C34</f>
        <v>0</v>
      </c>
      <c r="D51" s="38">
        <f>D23*D34</f>
        <v>0</v>
      </c>
      <c r="E51" s="38">
        <f>E23*E34</f>
        <v>8910.0809163125996</v>
      </c>
      <c r="F51" s="38">
        <f>F23*F34</f>
        <v>75010.909090909146</v>
      </c>
      <c r="G51" s="25" t="s">
        <v>108</v>
      </c>
    </row>
    <row r="52" spans="1:7" x14ac:dyDescent="0.3">
      <c r="A52" s="22" t="s">
        <v>39</v>
      </c>
      <c r="B52" s="22" t="s">
        <v>32</v>
      </c>
      <c r="C52" s="36">
        <f>MIN(C51,C43)</f>
        <v>0</v>
      </c>
      <c r="D52" s="36">
        <f>MIN(D51,D43)</f>
        <v>0</v>
      </c>
      <c r="E52" s="36">
        <f>MIN(E51,E43)</f>
        <v>8910.0809163125996</v>
      </c>
      <c r="F52" s="36">
        <f>MIN(F51,F43)</f>
        <v>75010.909090909146</v>
      </c>
      <c r="G52" s="42" t="s">
        <v>109</v>
      </c>
    </row>
    <row r="53" spans="1:7" x14ac:dyDescent="0.3">
      <c r="A53" s="30" t="s">
        <v>40</v>
      </c>
      <c r="B53" s="30" t="s">
        <v>32</v>
      </c>
      <c r="C53" s="39">
        <f>C50-C52</f>
        <v>261793.5173837638</v>
      </c>
      <c r="D53" s="39">
        <f>D50-D52</f>
        <v>2345602.0157752559</v>
      </c>
      <c r="E53" s="39">
        <f>E50-E52</f>
        <v>242358.20254941838</v>
      </c>
      <c r="F53" s="39">
        <f>F50-F52</f>
        <v>233784.00000000015</v>
      </c>
      <c r="G53" s="41" t="s">
        <v>110</v>
      </c>
    </row>
    <row r="54" spans="1:7" x14ac:dyDescent="0.3">
      <c r="A54" s="20" t="s">
        <v>41</v>
      </c>
      <c r="B54" s="20" t="s">
        <v>42</v>
      </c>
      <c r="C54" s="37">
        <f>C53/C15</f>
        <v>34.905802317835175</v>
      </c>
      <c r="D54" s="37">
        <f>D53/D15</f>
        <v>106.61827344432982</v>
      </c>
      <c r="E54" s="37">
        <f>E53/E15</f>
        <v>20.196516879118199</v>
      </c>
      <c r="F54" s="37">
        <f>F53/F15</f>
        <v>15.58560000000001</v>
      </c>
      <c r="G54" s="9" t="s">
        <v>229</v>
      </c>
    </row>
    <row r="55" spans="1:7" x14ac:dyDescent="0.3">
      <c r="A55" s="8"/>
      <c r="B55" s="8"/>
      <c r="C55" s="8"/>
      <c r="D55" s="8"/>
      <c r="E55" s="8"/>
      <c r="F55" s="8"/>
      <c r="G55" s="1"/>
    </row>
    <row r="56" spans="1:7" x14ac:dyDescent="0.3">
      <c r="A56" s="8"/>
      <c r="B56" s="8"/>
      <c r="C56" s="8"/>
      <c r="D56" s="8"/>
      <c r="E56" s="8"/>
      <c r="F56" s="8"/>
      <c r="G56" s="1"/>
    </row>
    <row r="57" spans="1:7" ht="17.399999999999999" x14ac:dyDescent="0.35">
      <c r="A57" s="153" t="s">
        <v>120</v>
      </c>
      <c r="B57" s="153"/>
      <c r="C57" s="153"/>
      <c r="D57" s="153"/>
      <c r="E57" s="153"/>
      <c r="F57" s="153"/>
      <c r="G57" s="154"/>
    </row>
    <row r="58" spans="1:7" x14ac:dyDescent="0.3">
      <c r="A58" s="15" t="s">
        <v>0</v>
      </c>
      <c r="B58" s="15" t="s">
        <v>1</v>
      </c>
      <c r="C58" s="15" t="s">
        <v>84</v>
      </c>
      <c r="D58" s="15" t="s">
        <v>79</v>
      </c>
      <c r="E58" s="15" t="s">
        <v>80</v>
      </c>
      <c r="F58" s="15" t="s">
        <v>337</v>
      </c>
      <c r="G58" s="40" t="s">
        <v>25</v>
      </c>
    </row>
    <row r="59" spans="1:7" x14ac:dyDescent="0.3">
      <c r="A59" s="22" t="s">
        <v>243</v>
      </c>
      <c r="B59" s="22" t="s">
        <v>42</v>
      </c>
      <c r="C59" s="27">
        <f>'Example Input'!L15</f>
        <v>35.0558155493813</v>
      </c>
      <c r="D59" s="27"/>
      <c r="E59" s="27"/>
      <c r="F59" s="27"/>
      <c r="G59" s="24" t="s">
        <v>259</v>
      </c>
    </row>
    <row r="60" spans="1:7" x14ac:dyDescent="0.3">
      <c r="A60" s="17" t="s">
        <v>244</v>
      </c>
      <c r="B60" s="17" t="s">
        <v>42</v>
      </c>
      <c r="C60" s="28"/>
      <c r="D60" s="28">
        <f>'Example Input'!L16</f>
        <v>179.61984038261701</v>
      </c>
      <c r="E60" s="28"/>
      <c r="F60" s="28"/>
      <c r="G60" s="25" t="s">
        <v>260</v>
      </c>
    </row>
    <row r="61" spans="1:7" x14ac:dyDescent="0.3">
      <c r="A61" s="22" t="s">
        <v>227</v>
      </c>
      <c r="B61" s="22" t="s">
        <v>42</v>
      </c>
      <c r="C61" s="27"/>
      <c r="D61" s="27"/>
      <c r="E61" s="27">
        <f>'Example Input'!L17</f>
        <v>35.689172648169901</v>
      </c>
      <c r="F61" s="27"/>
      <c r="G61" s="24" t="s">
        <v>261</v>
      </c>
    </row>
    <row r="62" spans="1:7" x14ac:dyDescent="0.3">
      <c r="A62" s="17" t="s">
        <v>227</v>
      </c>
      <c r="B62" s="17" t="s">
        <v>42</v>
      </c>
      <c r="C62" s="28"/>
      <c r="D62" s="28"/>
      <c r="E62" s="28">
        <f>'Example Input'!L18</f>
        <v>42.365322034194897</v>
      </c>
      <c r="F62" s="28"/>
      <c r="G62" s="25" t="s">
        <v>262</v>
      </c>
    </row>
    <row r="63" spans="1:7" x14ac:dyDescent="0.3">
      <c r="A63" s="22" t="s">
        <v>338</v>
      </c>
      <c r="B63" s="22" t="s">
        <v>42</v>
      </c>
      <c r="C63" s="27"/>
      <c r="D63" s="27"/>
      <c r="E63" s="27"/>
      <c r="F63" s="27">
        <f>'Example Input'!L19</f>
        <v>33.940926009131999</v>
      </c>
      <c r="G63" s="24" t="s">
        <v>260</v>
      </c>
    </row>
    <row r="64" spans="1:7" x14ac:dyDescent="0.3">
      <c r="A64" s="17" t="s">
        <v>245</v>
      </c>
      <c r="B64" s="17" t="s">
        <v>28</v>
      </c>
      <c r="C64" s="28">
        <f>'Example Input'!L25</f>
        <v>143.720312778687</v>
      </c>
      <c r="D64" s="28"/>
      <c r="E64" s="28"/>
      <c r="F64" s="28"/>
      <c r="G64" s="25" t="s">
        <v>263</v>
      </c>
    </row>
    <row r="65" spans="1:7" x14ac:dyDescent="0.3">
      <c r="A65" s="22" t="s">
        <v>246</v>
      </c>
      <c r="B65" s="22" t="s">
        <v>28</v>
      </c>
      <c r="C65" s="27"/>
      <c r="D65" s="27">
        <f>'Example Input'!L26</f>
        <v>340.35110034024001</v>
      </c>
      <c r="E65" s="27"/>
      <c r="F65" s="27"/>
      <c r="G65" s="24" t="s">
        <v>263</v>
      </c>
    </row>
    <row r="66" spans="1:7" x14ac:dyDescent="0.3">
      <c r="A66" s="17" t="s">
        <v>339</v>
      </c>
      <c r="B66" s="17" t="s">
        <v>28</v>
      </c>
      <c r="C66" s="28"/>
      <c r="D66" s="28"/>
      <c r="E66" s="28"/>
      <c r="F66" s="28">
        <f>'Example Input'!L29</f>
        <v>92.888477803613</v>
      </c>
      <c r="G66" s="25" t="s">
        <v>263</v>
      </c>
    </row>
    <row r="67" spans="1:7" x14ac:dyDescent="0.3">
      <c r="A67" s="8"/>
      <c r="B67" s="8"/>
      <c r="C67" s="8"/>
      <c r="D67" s="8"/>
      <c r="E67" s="8"/>
      <c r="F67" s="8"/>
      <c r="G67" s="1"/>
    </row>
    <row r="68" spans="1:7" x14ac:dyDescent="0.3">
      <c r="A68" s="20" t="s">
        <v>228</v>
      </c>
      <c r="B68" s="20" t="s">
        <v>42</v>
      </c>
      <c r="C68" s="49"/>
      <c r="D68" s="49"/>
      <c r="E68" s="35">
        <f>0.65*'Example Input'!L17+0.35*'Example Input'!L18</f>
        <v>38.025824933278649</v>
      </c>
      <c r="F68" s="49"/>
      <c r="G68" s="29" t="s">
        <v>100</v>
      </c>
    </row>
    <row r="69" spans="1:7" x14ac:dyDescent="0.3">
      <c r="A69" s="8"/>
      <c r="B69" s="8"/>
      <c r="C69" s="8"/>
      <c r="D69" s="8"/>
      <c r="E69" s="8"/>
      <c r="F69" s="8"/>
      <c r="G69" s="1"/>
    </row>
    <row r="70" spans="1:7" x14ac:dyDescent="0.3">
      <c r="A70" s="8"/>
      <c r="B70" s="8"/>
      <c r="C70" s="8"/>
      <c r="D70" s="8"/>
      <c r="E70" s="8"/>
      <c r="F70" s="8"/>
      <c r="G70" s="1"/>
    </row>
    <row r="71" spans="1:7" ht="17.399999999999999" x14ac:dyDescent="0.35">
      <c r="A71" s="153" t="s">
        <v>121</v>
      </c>
      <c r="B71" s="153"/>
      <c r="C71" s="153"/>
      <c r="D71" s="153"/>
      <c r="E71" s="153"/>
      <c r="F71" s="153"/>
      <c r="G71" s="154"/>
    </row>
    <row r="72" spans="1:7" x14ac:dyDescent="0.3">
      <c r="A72" s="92" t="s">
        <v>45</v>
      </c>
      <c r="B72" s="92"/>
      <c r="C72" s="92"/>
      <c r="D72" s="92"/>
      <c r="E72" s="92"/>
      <c r="F72" s="92"/>
      <c r="G72" s="91"/>
    </row>
    <row r="73" spans="1:7" x14ac:dyDescent="0.3">
      <c r="A73" s="83"/>
      <c r="B73" s="83"/>
      <c r="C73" s="83"/>
      <c r="D73" s="83"/>
      <c r="E73" s="83"/>
      <c r="F73" s="83"/>
      <c r="G73" s="86"/>
    </row>
    <row r="74" spans="1:7" x14ac:dyDescent="0.3">
      <c r="A74" s="130" t="s">
        <v>321</v>
      </c>
      <c r="B74" s="130"/>
      <c r="C74" s="13"/>
      <c r="D74" s="13"/>
      <c r="E74" s="13"/>
      <c r="F74" s="13"/>
      <c r="G74" s="130"/>
    </row>
    <row r="75" spans="1:7" ht="40.049999999999997" customHeight="1" x14ac:dyDescent="0.3">
      <c r="A75" s="146" t="s">
        <v>182</v>
      </c>
      <c r="B75" s="146"/>
      <c r="C75" s="146"/>
      <c r="D75" s="146"/>
      <c r="E75" s="146"/>
      <c r="F75" s="146"/>
      <c r="G75" s="146"/>
    </row>
    <row r="76" spans="1:7" x14ac:dyDescent="0.3">
      <c r="A76" s="81"/>
      <c r="B76" s="81"/>
      <c r="C76" s="82"/>
      <c r="D76" s="82"/>
      <c r="E76" s="82"/>
      <c r="F76" s="82"/>
      <c r="G76" s="81"/>
    </row>
    <row r="77" spans="1:7" x14ac:dyDescent="0.3">
      <c r="A77" s="84" t="s">
        <v>177</v>
      </c>
      <c r="B77" s="84"/>
      <c r="C77" s="84"/>
      <c r="D77" s="84"/>
      <c r="E77" s="84"/>
      <c r="F77" s="84"/>
      <c r="G77" s="84"/>
    </row>
    <row r="78" spans="1:7" x14ac:dyDescent="0.3">
      <c r="A78" s="15" t="s">
        <v>74</v>
      </c>
      <c r="B78" s="141" t="s">
        <v>178</v>
      </c>
      <c r="C78" s="141" t="s">
        <v>179</v>
      </c>
      <c r="D78" s="141" t="s">
        <v>180</v>
      </c>
      <c r="E78" s="141" t="s">
        <v>340</v>
      </c>
      <c r="F78" s="15"/>
      <c r="G78" s="15"/>
    </row>
    <row r="79" spans="1:7" x14ac:dyDescent="0.3">
      <c r="A79" s="18">
        <v>2024</v>
      </c>
      <c r="B79" s="87">
        <f>'Example Input'!L6</f>
        <v>0.23705494277853301</v>
      </c>
      <c r="C79" s="87">
        <f>'Example Input'!L7</f>
        <v>0.54535386277687703</v>
      </c>
      <c r="D79" s="87">
        <f>'Example Input'!L8</f>
        <v>0.14850134860521</v>
      </c>
      <c r="E79" s="87">
        <f>'Example Input'!L9</f>
        <v>0.416727272727273</v>
      </c>
      <c r="F79" s="2"/>
      <c r="G79" s="2"/>
    </row>
    <row r="80" spans="1:7" x14ac:dyDescent="0.3">
      <c r="A80" s="17">
        <v>2025</v>
      </c>
      <c r="B80" s="88">
        <f>'Example Input'!M6</f>
        <v>0.20162584674648801</v>
      </c>
      <c r="C80" s="88">
        <f>'Example Input'!M7</f>
        <v>0.46612821898073098</v>
      </c>
      <c r="D80" s="88">
        <f>'Example Input'!M8</f>
        <v>0.13234471853508201</v>
      </c>
      <c r="E80" s="88">
        <f>'Example Input'!M9</f>
        <v>0.41045454545454502</v>
      </c>
      <c r="F80" s="19"/>
      <c r="G80" s="19"/>
    </row>
    <row r="81" spans="1:7" x14ac:dyDescent="0.3">
      <c r="A81" s="18">
        <v>2026</v>
      </c>
      <c r="B81" s="87">
        <f>'Example Input'!N6</f>
        <v>0.16619675071444301</v>
      </c>
      <c r="C81" s="87">
        <f>'Example Input'!N7</f>
        <v>0.38690257518458498</v>
      </c>
      <c r="D81" s="87">
        <f>'Example Input'!N8</f>
        <v>0.116188088464955</v>
      </c>
      <c r="E81" s="87">
        <f>'Example Input'!N9</f>
        <v>0.40418181818181798</v>
      </c>
      <c r="F81" s="2"/>
      <c r="G81" s="2"/>
    </row>
    <row r="82" spans="1:7" x14ac:dyDescent="0.3">
      <c r="A82" s="17">
        <v>2027</v>
      </c>
      <c r="B82" s="88">
        <f>'Example Input'!O6</f>
        <v>0.154700782172735</v>
      </c>
      <c r="C82" s="88">
        <f>'Example Input'!O7</f>
        <v>0.30767693138843899</v>
      </c>
      <c r="D82" s="88">
        <f>'Example Input'!O8</f>
        <v>0.10003145839482799</v>
      </c>
      <c r="E82" s="88">
        <f>'Example Input'!O9</f>
        <v>0.39790909090909099</v>
      </c>
      <c r="F82" s="19"/>
      <c r="G82" s="19"/>
    </row>
    <row r="83" spans="1:7" x14ac:dyDescent="0.3">
      <c r="A83" s="18">
        <v>2028</v>
      </c>
      <c r="B83" s="87">
        <f>'Example Input'!P6</f>
        <v>0.14320481363102899</v>
      </c>
      <c r="C83" s="87">
        <f>'Example Input'!P7</f>
        <v>0.228451287592292</v>
      </c>
      <c r="D83" s="87">
        <f>'Example Input'!P8</f>
        <v>8.3874828324700695E-2</v>
      </c>
      <c r="E83" s="87">
        <f>'Example Input'!P9</f>
        <v>0.391636363636364</v>
      </c>
      <c r="F83" s="2"/>
      <c r="G83" s="2"/>
    </row>
    <row r="84" spans="1:7" x14ac:dyDescent="0.3">
      <c r="A84" s="17">
        <v>2029</v>
      </c>
      <c r="B84" s="88">
        <f>'Example Input'!Q6</f>
        <v>9.8901636619420905E-2</v>
      </c>
      <c r="C84" s="88">
        <f>'Example Input'!Q7</f>
        <v>0.149225643796146</v>
      </c>
      <c r="D84" s="88">
        <f>'Example Input'!Q8</f>
        <v>6.7718198254573397E-2</v>
      </c>
      <c r="E84" s="88">
        <f>'Example Input'!Q9</f>
        <v>0.38536363636363602</v>
      </c>
      <c r="F84" s="19"/>
      <c r="G84" s="19"/>
    </row>
    <row r="85" spans="1:7" x14ac:dyDescent="0.3">
      <c r="A85" s="18">
        <v>2030</v>
      </c>
      <c r="B85" s="87">
        <f>'Example Input'!R6</f>
        <v>5.4598459607812899E-2</v>
      </c>
      <c r="C85" s="87">
        <f>'Example Input'!R7</f>
        <v>7.0000000000000007E-2</v>
      </c>
      <c r="D85" s="87">
        <f>'Example Input'!R8</f>
        <v>5.1561568184446099E-2</v>
      </c>
      <c r="E85" s="87">
        <f>'Example Input'!R9</f>
        <v>0.37909090909090898</v>
      </c>
      <c r="F85" s="2"/>
      <c r="G85" s="2"/>
    </row>
    <row r="86" spans="1:7" x14ac:dyDescent="0.3">
      <c r="A86" s="17">
        <v>2031</v>
      </c>
      <c r="B86" s="88">
        <f>'Example Input'!S6</f>
        <v>4.8171473686250299E-2</v>
      </c>
      <c r="C86" s="88">
        <f>'Example Input'!S7</f>
        <v>6.6500000000000004E-2</v>
      </c>
      <c r="D86" s="88">
        <f>'Example Input'!S8</f>
        <v>4.0833191980688903E-2</v>
      </c>
      <c r="E86" s="88">
        <f>'Example Input'!S9</f>
        <v>0.37</v>
      </c>
      <c r="F86" s="19"/>
      <c r="G86" s="19"/>
    </row>
    <row r="87" spans="1:7" x14ac:dyDescent="0.3">
      <c r="A87" s="18">
        <v>2032</v>
      </c>
      <c r="B87" s="87">
        <f>'Example Input'!T6</f>
        <v>4.1744487764687699E-2</v>
      </c>
      <c r="C87" s="87">
        <f>'Example Input'!T7</f>
        <v>6.3E-2</v>
      </c>
      <c r="D87" s="87">
        <f>'Example Input'!T8</f>
        <v>3.5292956767094097E-2</v>
      </c>
      <c r="E87" s="87">
        <f>'Example Input'!T9</f>
        <v>0.36090909090909101</v>
      </c>
      <c r="F87" s="2"/>
      <c r="G87" s="2"/>
    </row>
    <row r="88" spans="1:7" x14ac:dyDescent="0.3">
      <c r="A88" s="17">
        <v>2033</v>
      </c>
      <c r="B88" s="88">
        <f>'Example Input'!U6</f>
        <v>3.5317501843125203E-2</v>
      </c>
      <c r="C88" s="88">
        <f>'Example Input'!U7</f>
        <v>5.9499999999999997E-2</v>
      </c>
      <c r="D88" s="88">
        <f>'Example Input'!U8</f>
        <v>3.06494609194643E-2</v>
      </c>
      <c r="E88" s="88">
        <f>'Example Input'!U9</f>
        <v>0.35181818181818197</v>
      </c>
      <c r="F88" s="19"/>
      <c r="G88" s="19"/>
    </row>
    <row r="89" spans="1:7" x14ac:dyDescent="0.3">
      <c r="A89" s="18">
        <v>2034</v>
      </c>
      <c r="B89" s="87">
        <f>'Example Input'!V6</f>
        <v>2.8890515921562599E-2</v>
      </c>
      <c r="C89" s="87">
        <f>'Example Input'!V7</f>
        <v>5.6000000000000001E-2</v>
      </c>
      <c r="D89" s="87">
        <f>'Example Input'!V8</f>
        <v>2.7824029572906799E-2</v>
      </c>
      <c r="E89" s="87">
        <f>'Example Input'!V9</f>
        <v>0.34272727272727299</v>
      </c>
      <c r="F89" s="2"/>
      <c r="G89" s="2"/>
    </row>
    <row r="90" spans="1:7" x14ac:dyDescent="0.3">
      <c r="A90" s="17">
        <v>2035</v>
      </c>
      <c r="B90" s="88">
        <f>'Example Input'!W6</f>
        <v>2.2463529999999999E-2</v>
      </c>
      <c r="C90" s="88">
        <f>'Example Input'!W7</f>
        <v>5.2499999999999998E-2</v>
      </c>
      <c r="D90" s="88">
        <f>'Example Input'!W8</f>
        <v>2.48216743772256E-2</v>
      </c>
      <c r="E90" s="88">
        <f>'Example Input'!W9</f>
        <v>0.33363636363636301</v>
      </c>
      <c r="F90" s="19"/>
      <c r="G90" s="19"/>
    </row>
    <row r="91" spans="1:7" x14ac:dyDescent="0.3">
      <c r="A91" s="18">
        <v>2036</v>
      </c>
      <c r="B91" s="87">
        <f>'Example Input'!X6</f>
        <v>1.7970824E-2</v>
      </c>
      <c r="C91" s="87">
        <f>'Example Input'!X7</f>
        <v>4.9000000000000002E-2</v>
      </c>
      <c r="D91" s="87">
        <f>'Example Input'!X8</f>
        <v>2.0533091375209599E-2</v>
      </c>
      <c r="E91" s="87">
        <f>'Example Input'!X9</f>
        <v>0.32454545454545403</v>
      </c>
      <c r="F91" s="2"/>
      <c r="G91" s="2"/>
    </row>
    <row r="92" spans="1:7" x14ac:dyDescent="0.3">
      <c r="A92" s="17">
        <v>2037</v>
      </c>
      <c r="B92" s="88">
        <f>'Example Input'!Y6</f>
        <v>1.3478118000000001E-2</v>
      </c>
      <c r="C92" s="88">
        <f>'Example Input'!Y7</f>
        <v>4.5499999999999999E-2</v>
      </c>
      <c r="D92" s="88">
        <f>'Example Input'!Y8</f>
        <v>1.8263413324176799E-2</v>
      </c>
      <c r="E92" s="88">
        <f>'Example Input'!Y9</f>
        <v>0.31545454545454499</v>
      </c>
      <c r="F92" s="19"/>
      <c r="G92" s="19"/>
    </row>
    <row r="93" spans="1:7" x14ac:dyDescent="0.3">
      <c r="A93" s="18">
        <v>2038</v>
      </c>
      <c r="B93" s="87">
        <f>'Example Input'!Z6</f>
        <v>8.9854119999999999E-3</v>
      </c>
      <c r="C93" s="87">
        <f>'Example Input'!Z7</f>
        <v>4.2000000000000003E-2</v>
      </c>
      <c r="D93" s="87">
        <f>'Example Input'!Z8</f>
        <v>1.78399122432574E-2</v>
      </c>
      <c r="E93" s="87">
        <f>'Example Input'!Z9</f>
        <v>0.306363636363636</v>
      </c>
      <c r="F93" s="2"/>
      <c r="G93" s="2"/>
    </row>
    <row r="94" spans="1:7" x14ac:dyDescent="0.3">
      <c r="A94" s="17">
        <v>2039</v>
      </c>
      <c r="B94" s="88">
        <f>'Example Input'!AA6</f>
        <v>4.492706E-3</v>
      </c>
      <c r="C94" s="88">
        <f>'Example Input'!AA7</f>
        <v>3.85E-2</v>
      </c>
      <c r="D94" s="88">
        <f>'Example Input'!AA8</f>
        <v>1.6891474529625399E-2</v>
      </c>
      <c r="E94" s="88">
        <f>'Example Input'!AA9</f>
        <v>0.29727272727272702</v>
      </c>
      <c r="F94" s="19"/>
      <c r="G94" s="19"/>
    </row>
    <row r="95" spans="1:7" x14ac:dyDescent="0.3">
      <c r="A95" s="18">
        <v>2040</v>
      </c>
      <c r="B95" s="87">
        <f>'Example Input'!AB6</f>
        <v>0</v>
      </c>
      <c r="C95" s="87">
        <f>'Example Input'!AB7</f>
        <v>3.5000000000000003E-2</v>
      </c>
      <c r="D95" s="87">
        <f>'Example Input'!AB8</f>
        <v>1.5306374560403201E-2</v>
      </c>
      <c r="E95" s="87">
        <f>'Example Input'!AB9</f>
        <v>0.28818181818181798</v>
      </c>
      <c r="F95" s="2"/>
      <c r="G95" s="2"/>
    </row>
    <row r="96" spans="1:7" x14ac:dyDescent="0.3">
      <c r="A96" s="17">
        <v>2041</v>
      </c>
      <c r="B96" s="88">
        <f>'Example Input'!AC6</f>
        <v>0</v>
      </c>
      <c r="C96" s="88">
        <f>'Example Input'!AC7</f>
        <v>3.15E-2</v>
      </c>
      <c r="D96" s="88">
        <f>'Example Input'!AC8</f>
        <v>1.27064093188859E-2</v>
      </c>
      <c r="E96" s="88">
        <f>'Example Input'!AC9</f>
        <v>0.279090909090909</v>
      </c>
      <c r="F96" s="19"/>
      <c r="G96" s="19"/>
    </row>
    <row r="97" spans="1:7" x14ac:dyDescent="0.3">
      <c r="A97" s="18">
        <v>2042</v>
      </c>
      <c r="B97" s="87">
        <f>'Example Input'!AD6</f>
        <v>0</v>
      </c>
      <c r="C97" s="87">
        <f>'Example Input'!AD7</f>
        <v>2.8000000000000001E-2</v>
      </c>
      <c r="D97" s="87">
        <f>'Example Input'!AD8</f>
        <v>1.2058575421494201E-2</v>
      </c>
      <c r="E97" s="87">
        <f>'Example Input'!AD9</f>
        <v>0.27</v>
      </c>
      <c r="F97" s="2"/>
      <c r="G97" s="2"/>
    </row>
    <row r="98" spans="1:7" x14ac:dyDescent="0.3">
      <c r="A98" s="17">
        <v>2043</v>
      </c>
      <c r="B98" s="88">
        <f>'Example Input'!AE6</f>
        <v>0</v>
      </c>
      <c r="C98" s="88">
        <f>'Example Input'!AE7</f>
        <v>2.4500000000000001E-2</v>
      </c>
      <c r="D98" s="88">
        <f>'Example Input'!AE8</f>
        <v>1.1812380257711801E-2</v>
      </c>
      <c r="E98" s="88">
        <f>'Example Input'!AE9</f>
        <v>0.26090909090908998</v>
      </c>
      <c r="F98" s="19"/>
      <c r="G98" s="19"/>
    </row>
    <row r="99" spans="1:7" x14ac:dyDescent="0.3">
      <c r="A99" s="18">
        <v>2044</v>
      </c>
      <c r="B99" s="87">
        <f>'Example Input'!AF6</f>
        <v>0</v>
      </c>
      <c r="C99" s="87">
        <f>'Example Input'!AF7</f>
        <v>2.1000000000000001E-2</v>
      </c>
      <c r="D99" s="87">
        <f>'Example Input'!AF8</f>
        <v>1.1102442959280701E-2</v>
      </c>
      <c r="E99" s="87">
        <f>'Example Input'!AF9</f>
        <v>0.251818181818181</v>
      </c>
      <c r="F99" s="2"/>
      <c r="G99" s="2"/>
    </row>
    <row r="100" spans="1:7" x14ac:dyDescent="0.3">
      <c r="A100" s="17">
        <v>2045</v>
      </c>
      <c r="B100" s="88">
        <f>'Example Input'!AG6</f>
        <v>0</v>
      </c>
      <c r="C100" s="88">
        <f>'Example Input'!AG7</f>
        <v>1.7500000000000002E-2</v>
      </c>
      <c r="D100" s="88">
        <f>'Example Input'!AG8</f>
        <v>9.4285490555447698E-3</v>
      </c>
      <c r="E100" s="88">
        <f>'Example Input'!AG9</f>
        <v>0.24272727272727199</v>
      </c>
      <c r="F100" s="19"/>
      <c r="G100" s="19"/>
    </row>
    <row r="101" spans="1:7" x14ac:dyDescent="0.3">
      <c r="A101" s="18">
        <v>2046</v>
      </c>
      <c r="B101" s="87">
        <f>'Example Input'!AH6</f>
        <v>0</v>
      </c>
      <c r="C101" s="87">
        <f>'Example Input'!AH7</f>
        <v>1.4E-2</v>
      </c>
      <c r="D101" s="87">
        <f>'Example Input'!AH8</f>
        <v>8.5603307175814106E-3</v>
      </c>
      <c r="E101" s="87">
        <f>'Example Input'!AH9</f>
        <v>0.233636363636363</v>
      </c>
      <c r="F101" s="2"/>
      <c r="G101" s="2"/>
    </row>
    <row r="102" spans="1:7" x14ac:dyDescent="0.3">
      <c r="A102" s="17">
        <v>2047</v>
      </c>
      <c r="B102" s="88">
        <f>'Example Input'!AI6</f>
        <v>0</v>
      </c>
      <c r="C102" s="88">
        <f>'Example Input'!AI7</f>
        <v>1.0500000000000001E-2</v>
      </c>
      <c r="D102" s="88">
        <f>'Example Input'!AI8</f>
        <v>7.8929845517568403E-3</v>
      </c>
      <c r="E102" s="88">
        <f>'Example Input'!AI9</f>
        <v>0.22454545454545399</v>
      </c>
      <c r="F102" s="19"/>
      <c r="G102" s="19"/>
    </row>
    <row r="103" spans="1:7" x14ac:dyDescent="0.3">
      <c r="A103" s="18">
        <v>2048</v>
      </c>
      <c r="B103" s="87">
        <f>'Example Input'!AJ6</f>
        <v>0</v>
      </c>
      <c r="C103" s="87">
        <f>'Example Input'!AJ7</f>
        <v>7.0000000000000001E-3</v>
      </c>
      <c r="D103" s="87">
        <f>'Example Input'!AJ8</f>
        <v>7.4912625284179997E-3</v>
      </c>
      <c r="E103" s="87">
        <f>'Example Input'!AJ9</f>
        <v>0.21545454545454401</v>
      </c>
      <c r="F103" s="2"/>
      <c r="G103" s="2"/>
    </row>
    <row r="104" spans="1:7" x14ac:dyDescent="0.3">
      <c r="A104" s="17">
        <v>2049</v>
      </c>
      <c r="B104" s="88">
        <f>'Example Input'!AK6</f>
        <v>0</v>
      </c>
      <c r="C104" s="88">
        <f>'Example Input'!AK7</f>
        <v>3.5000000000000001E-3</v>
      </c>
      <c r="D104" s="88">
        <f>'Example Input'!AK8</f>
        <v>6.9709267311264603E-3</v>
      </c>
      <c r="E104" s="88">
        <f>'Example Input'!AK9</f>
        <v>0.206363636363635</v>
      </c>
      <c r="F104" s="19"/>
      <c r="G104" s="19"/>
    </row>
    <row r="105" spans="1:7" x14ac:dyDescent="0.3">
      <c r="A105" s="18">
        <v>2050</v>
      </c>
      <c r="B105" s="87">
        <f>'Example Input'!AL6</f>
        <v>0</v>
      </c>
      <c r="C105" s="87">
        <f>'Example Input'!AL7</f>
        <v>0</v>
      </c>
      <c r="D105" s="87">
        <f>'Example Input'!AL8</f>
        <v>6.8512486237139996E-3</v>
      </c>
      <c r="E105" s="87">
        <f>'Example Input'!AL9</f>
        <v>0.19727272727272599</v>
      </c>
      <c r="F105" s="2"/>
      <c r="G105" s="2"/>
    </row>
    <row r="107" spans="1:7" x14ac:dyDescent="0.3">
      <c r="A107" s="84" t="s">
        <v>181</v>
      </c>
      <c r="B107" s="84"/>
      <c r="C107" s="84"/>
      <c r="D107" s="84"/>
      <c r="E107" s="84"/>
      <c r="F107" s="84"/>
      <c r="G107" s="84"/>
    </row>
    <row r="108" spans="1:7" x14ac:dyDescent="0.3">
      <c r="A108" s="15" t="s">
        <v>74</v>
      </c>
      <c r="B108" s="15" t="s">
        <v>84</v>
      </c>
      <c r="C108" s="15" t="s">
        <v>79</v>
      </c>
      <c r="D108" s="15" t="s">
        <v>80</v>
      </c>
      <c r="E108" s="15" t="s">
        <v>337</v>
      </c>
      <c r="F108" s="15"/>
      <c r="G108" s="15"/>
    </row>
    <row r="109" spans="1:7" x14ac:dyDescent="0.3">
      <c r="A109" s="18">
        <v>2024</v>
      </c>
      <c r="B109" s="89">
        <f>(C16*B79+C19*C36)/C15</f>
        <v>34.905802317835175</v>
      </c>
      <c r="C109" s="89">
        <f>(D16*C79+D17*D35+D20*D37)/D15</f>
        <v>106.61827344432982</v>
      </c>
      <c r="D109" s="89">
        <f>(E16*D79+E17*E35-MIN(E23*D79,E16*D79))/E15</f>
        <v>20.196516879118199</v>
      </c>
      <c r="E109" s="89">
        <f>(F16*E79-MIN(F23*E79,F16*E79))/F15</f>
        <v>15.58560000000001</v>
      </c>
      <c r="F109" s="2"/>
      <c r="G109" s="2"/>
    </row>
    <row r="110" spans="1:7" x14ac:dyDescent="0.3">
      <c r="A110" s="17">
        <v>2025</v>
      </c>
      <c r="B110" s="90">
        <f>(C16*B80+C19*C36)/C15</f>
        <v>32.213191019399758</v>
      </c>
      <c r="C110" s="90">
        <f>(D16*C80+D17*D35+D20*D37)/D15</f>
        <v>96.535009688456668</v>
      </c>
      <c r="D110" s="90">
        <f>(E16*D80+E17*E35-MIN(E23*D80,E16*D80))/E15</f>
        <v>18.796275606373772</v>
      </c>
      <c r="E110" s="90">
        <f>(F16*E80-MIN(F23*E80,F16*E80))/F15</f>
        <v>15.350999999999985</v>
      </c>
      <c r="F110" s="19"/>
      <c r="G110" s="19"/>
    </row>
    <row r="111" spans="1:7" x14ac:dyDescent="0.3">
      <c r="A111" s="18">
        <v>2026</v>
      </c>
      <c r="B111" s="89">
        <f>(C16*B81+C19*C36)/C15</f>
        <v>29.520579720964339</v>
      </c>
      <c r="C111" s="89">
        <f>(D16*C81+D17*D35+D20*D37)/D15</f>
        <v>86.451745932583535</v>
      </c>
      <c r="D111" s="89">
        <f>(E16*D81+E17*E35-MIN(E23*D81,E16*D81))/E15</f>
        <v>17.39603433362943</v>
      </c>
      <c r="E111" s="89">
        <f>(F16*E81-MIN(F23*E81,F16*E81))/F15</f>
        <v>15.116399999999992</v>
      </c>
      <c r="F111" s="2"/>
      <c r="G111" s="2"/>
    </row>
    <row r="112" spans="1:7" x14ac:dyDescent="0.3">
      <c r="A112" s="17">
        <v>2027</v>
      </c>
      <c r="B112" s="90">
        <f>(C16*B82+C19*C36)/C15</f>
        <v>28.646886111794529</v>
      </c>
      <c r="C112" s="90">
        <f>(D16*C82+D17*D35+D20*D37)/D15</f>
        <v>76.368482176710401</v>
      </c>
      <c r="D112" s="90">
        <f>(E16*D82+E17*E35-MIN(E23*D82,E16*D82))/E15</f>
        <v>15.995793060885092</v>
      </c>
      <c r="E112" s="90">
        <f>(F16*E82-MIN(F23*E82,F16*E82))/F15</f>
        <v>14.881800000000002</v>
      </c>
      <c r="F112" s="19"/>
      <c r="G112" s="19"/>
    </row>
    <row r="113" spans="1:7" x14ac:dyDescent="0.3">
      <c r="A113" s="18">
        <v>2028</v>
      </c>
      <c r="B113" s="89">
        <f>(C16*B83+C19*C36)/C15</f>
        <v>27.773192502624866</v>
      </c>
      <c r="C113" s="89">
        <f>(D16*C83+D17*D35+D20*D37)/D15</f>
        <v>66.285218420837154</v>
      </c>
      <c r="D113" s="89">
        <f>(E16*D83+E17*E35-MIN(E23*D83,E16*D83))/E15</f>
        <v>14.595551788140726</v>
      </c>
      <c r="E113" s="89">
        <f>(F16*E83-MIN(F23*E83,F16*E83))/F15</f>
        <v>14.647200000000012</v>
      </c>
      <c r="F113" s="2"/>
      <c r="G113" s="2"/>
    </row>
    <row r="114" spans="1:7" x14ac:dyDescent="0.3">
      <c r="A114" s="17">
        <v>2029</v>
      </c>
      <c r="B114" s="90">
        <f>(C16*B84+C19*C36)/C15</f>
        <v>24.406151049742654</v>
      </c>
      <c r="C114" s="90">
        <f>(D16*C84+D17*D35+D20*D37)/D15</f>
        <v>56.201954664964042</v>
      </c>
      <c r="D114" s="90">
        <f>(E16*D84+E17*E35-MIN(E23*D84,E16*D84))/E15</f>
        <v>13.195310515396359</v>
      </c>
      <c r="E114" s="90">
        <f>(F16*E84-MIN(F23*E84,F16*E84))/F15</f>
        <v>14.412599999999989</v>
      </c>
      <c r="F114" s="19"/>
      <c r="G114" s="19"/>
    </row>
    <row r="115" spans="1:7" x14ac:dyDescent="0.3">
      <c r="A115" s="18">
        <v>2030</v>
      </c>
      <c r="B115" s="89">
        <f>(C16*B85+C19*C36)/C15</f>
        <v>21.039109596860449</v>
      </c>
      <c r="C115" s="89">
        <f>(D16*C85+D17*D35+D20*D37)/D15</f>
        <v>46.118690909090908</v>
      </c>
      <c r="D115" s="89">
        <f>(E16*D85+E17*E35-MIN(E23*D85,E16*D85))/E15</f>
        <v>11.795069242651994</v>
      </c>
      <c r="E115" s="89">
        <f>(F16*E85-MIN(F23*E85,F16*E85))/F15</f>
        <v>14.177999999999994</v>
      </c>
      <c r="F115" s="2"/>
      <c r="G115" s="2"/>
    </row>
    <row r="116" spans="1:7" x14ac:dyDescent="0.3">
      <c r="A116" s="17">
        <v>2031</v>
      </c>
      <c r="B116" s="90">
        <f>(C16*B86+C19*C36)/C15</f>
        <v>20.55065866682169</v>
      </c>
      <c r="C116" s="90">
        <f>(D16*C86+D17*D35+D20*D37)/D15</f>
        <v>45.673236363636363</v>
      </c>
      <c r="D116" s="90">
        <f>(E16*D86+E17*E35-MIN(E23*D86,E16*D86))/E15</f>
        <v>10.865276638326371</v>
      </c>
      <c r="E116" s="90">
        <f>(F16*E86-MIN(F23*E86,F16*E86))/F15</f>
        <v>13.837999999999999</v>
      </c>
      <c r="F116" s="19"/>
      <c r="G116" s="19"/>
    </row>
    <row r="117" spans="1:7" x14ac:dyDescent="0.3">
      <c r="A117" s="18">
        <v>2032</v>
      </c>
      <c r="B117" s="89">
        <f>(C16*B87+C19*C36)/C15</f>
        <v>20.062207736782931</v>
      </c>
      <c r="C117" s="89">
        <f>(D16*C87+D17*D35+D20*D37)/D15</f>
        <v>45.227781818181818</v>
      </c>
      <c r="D117" s="89">
        <f>(E16*D87+E17*E35-MIN(E23*D87,E16*D87))/E15</f>
        <v>10.385122919814821</v>
      </c>
      <c r="E117" s="89">
        <f>(F16*E87-MIN(F23*E87,F16*E87))/F15</f>
        <v>13.498000000000006</v>
      </c>
      <c r="F117" s="2"/>
      <c r="G117" s="2"/>
    </row>
    <row r="118" spans="1:7" x14ac:dyDescent="0.3">
      <c r="A118" s="17">
        <v>2033</v>
      </c>
      <c r="B118" s="90">
        <f>(C16*B88+C19*C36)/C15</f>
        <v>19.573756806744182</v>
      </c>
      <c r="C118" s="90">
        <f>(D16*C88+D17*D35+D20*D37)/D15</f>
        <v>44.782327272727272</v>
      </c>
      <c r="D118" s="90">
        <f>(E16*D88+E17*E35-MIN(E23*D88,E16*D88))/E15</f>
        <v>9.9826866130202383</v>
      </c>
      <c r="E118" s="90">
        <f>(F16*E88-MIN(F23*E88,F16*E88))/F15</f>
        <v>13.158000000000007</v>
      </c>
      <c r="F118" s="19"/>
      <c r="G118" s="19"/>
    </row>
    <row r="119" spans="1:7" x14ac:dyDescent="0.3">
      <c r="A119" s="18">
        <v>2034</v>
      </c>
      <c r="B119" s="89">
        <f>(C16*B89+C19*C36)/C15</f>
        <v>19.085305876705423</v>
      </c>
      <c r="C119" s="89">
        <f>(D16*C89+D17*D35+D20*D37)/D15</f>
        <v>44.336872727272727</v>
      </c>
      <c r="D119" s="89">
        <f>(E16*D89+E17*E35-MIN(E23*D89,E16*D89))/E15</f>
        <v>9.7378158963185868</v>
      </c>
      <c r="E119" s="89">
        <f>(F16*E89-MIN(F23*E89,F16*E89))/F15</f>
        <v>12.81800000000001</v>
      </c>
      <c r="F119" s="2"/>
      <c r="G119" s="2"/>
    </row>
    <row r="120" spans="1:7" x14ac:dyDescent="0.3">
      <c r="A120" s="17">
        <v>2035</v>
      </c>
      <c r="B120" s="90">
        <f>(C16*B90+C19*C36)/C15</f>
        <v>18.596854946666664</v>
      </c>
      <c r="C120" s="90">
        <f>(D16*C90+D17*D35+D20*D37)/D15</f>
        <v>43.891418181818182</v>
      </c>
      <c r="D120" s="90">
        <f>(E16*D90+E17*E35-MIN(E23*D90,E16*D90))/E15</f>
        <v>9.4776117793595507</v>
      </c>
      <c r="E120" s="90">
        <f>(F16*E90-MIN(F23*E90,F16*E90))/F15</f>
        <v>12.477999999999977</v>
      </c>
      <c r="F120" s="19"/>
      <c r="G120" s="19"/>
    </row>
    <row r="121" spans="1:7" x14ac:dyDescent="0.3">
      <c r="A121" s="18">
        <v>2036</v>
      </c>
      <c r="B121" s="89">
        <f>(C16*B91+C19*C36)/C15</f>
        <v>18.255409290666666</v>
      </c>
      <c r="C121" s="89">
        <f>(D16*C91+D17*D35+D20*D37)/D15</f>
        <v>43.445963636363636</v>
      </c>
      <c r="D121" s="89">
        <f>(E16*D91+E17*E35-MIN(E23*D91,E16*D91))/E15</f>
        <v>9.1059345858514966</v>
      </c>
      <c r="E121" s="89">
        <f>(F16*E91-MIN(F23*E91,F16*E91))/F15</f>
        <v>12.13799999999998</v>
      </c>
      <c r="F121" s="2"/>
      <c r="G121" s="2"/>
    </row>
    <row r="122" spans="1:7" x14ac:dyDescent="0.3">
      <c r="A122" s="17">
        <v>2037</v>
      </c>
      <c r="B122" s="90">
        <f>(C16*B92+C19*C36)/C15</f>
        <v>17.913963634666665</v>
      </c>
      <c r="C122" s="90">
        <f>(D16*C92+D17*D35+D20*D37)/D15</f>
        <v>43.000509090909091</v>
      </c>
      <c r="D122" s="90">
        <f>(E16*D92+E17*E35-MIN(E23*D92,E16*D92))/E15</f>
        <v>8.909229154761988</v>
      </c>
      <c r="E122" s="90">
        <f>(F16*E92-MIN(F23*E92,F16*E92))/F15</f>
        <v>11.797999999999982</v>
      </c>
      <c r="F122" s="19"/>
      <c r="G122" s="19"/>
    </row>
    <row r="123" spans="1:7" x14ac:dyDescent="0.3">
      <c r="A123" s="18">
        <v>2038</v>
      </c>
      <c r="B123" s="89">
        <f>(C16*B93+C19*C36)/C15</f>
        <v>17.572517978666664</v>
      </c>
      <c r="C123" s="89">
        <f>(D16*C93+D17*D35+D20*D37)/D15</f>
        <v>42.555054545454546</v>
      </c>
      <c r="D123" s="89">
        <f>(E16*D93+E17*E35-MIN(E23*D93,E16*D93))/E15</f>
        <v>8.8725257277489735</v>
      </c>
      <c r="E123" s="89">
        <f>(F16*E93-MIN(F23*E93,F16*E93))/F15</f>
        <v>11.457999999999986</v>
      </c>
      <c r="F123" s="2"/>
      <c r="G123" s="2"/>
    </row>
    <row r="124" spans="1:7" x14ac:dyDescent="0.3">
      <c r="A124" s="17">
        <v>2039</v>
      </c>
      <c r="B124" s="90">
        <f>(C16*B94+C19*C36)/C15</f>
        <v>17.231072322666666</v>
      </c>
      <c r="C124" s="90">
        <f>(D16*C94+D17*D35+D20*D37)/D15</f>
        <v>42.1096</v>
      </c>
      <c r="D124" s="90">
        <f>(E16*D94+E17*E35-MIN(E23*D94,E16*D94))/E15</f>
        <v>8.7903277925675329</v>
      </c>
      <c r="E124" s="90">
        <f>(F16*E94-MIN(F23*E94,F16*E94))/F15</f>
        <v>11.117999999999991</v>
      </c>
      <c r="F124" s="19"/>
      <c r="G124" s="19"/>
    </row>
    <row r="125" spans="1:7" x14ac:dyDescent="0.3">
      <c r="A125" s="18">
        <v>2040</v>
      </c>
      <c r="B125" s="89">
        <f>(C16*B95+C19*C36)/C15</f>
        <v>16.889626666666665</v>
      </c>
      <c r="C125" s="89">
        <f>(D16*C95+D17*D35+D20*D37)/D15</f>
        <v>41.664145454545455</v>
      </c>
      <c r="D125" s="89">
        <f>(E16*D95+E17*E35-MIN(E23*D95,E16*D95))/E15</f>
        <v>8.6529524619016094</v>
      </c>
      <c r="E125" s="89">
        <f>(F16*E95-MIN(F23*E95,F16*E95))/F15</f>
        <v>10.777999999999992</v>
      </c>
      <c r="F125" s="2"/>
      <c r="G125" s="2"/>
    </row>
    <row r="126" spans="1:7" x14ac:dyDescent="0.3">
      <c r="A126" s="17">
        <v>2041</v>
      </c>
      <c r="B126" s="90">
        <f>(C16*B96+C19*C36)/C15</f>
        <v>16.889626666666665</v>
      </c>
      <c r="C126" s="90">
        <f>(D16*C96+D17*D35+D20*D37)/D15</f>
        <v>41.21869090909091</v>
      </c>
      <c r="D126" s="90">
        <f>(E16*D96+E17*E35-MIN(E23*D96,E16*D96))/E15</f>
        <v>8.4276221409701115</v>
      </c>
      <c r="E126" s="90">
        <f>(F16*E96-MIN(F23*E96,F16*E96))/F15</f>
        <v>10.437999999999995</v>
      </c>
      <c r="F126" s="19"/>
      <c r="G126" s="19"/>
    </row>
    <row r="127" spans="1:7" x14ac:dyDescent="0.3">
      <c r="A127" s="18">
        <v>2042</v>
      </c>
      <c r="B127" s="89">
        <f>(C16*B97+C19*C36)/C15</f>
        <v>16.889626666666665</v>
      </c>
      <c r="C127" s="89">
        <f>(D16*C97+D17*D35+D20*D37)/D15</f>
        <v>40.773236363636364</v>
      </c>
      <c r="D127" s="89">
        <f>(E16*D97+E17*E35-MIN(E23*D97,E16*D97))/E15</f>
        <v>8.3714765365294959</v>
      </c>
      <c r="E127" s="89">
        <f>(F16*E97-MIN(F23*E97,F16*E97))/F15</f>
        <v>10.098000000000001</v>
      </c>
      <c r="F127" s="2"/>
      <c r="G127" s="2"/>
    </row>
    <row r="128" spans="1:7" x14ac:dyDescent="0.3">
      <c r="A128" s="17">
        <v>2043</v>
      </c>
      <c r="B128" s="90">
        <f>(C16*B98+C19*C36)/C15</f>
        <v>16.889626666666665</v>
      </c>
      <c r="C128" s="90">
        <f>(D16*C98+D17*D35+D20*D37)/D15</f>
        <v>40.327781818181819</v>
      </c>
      <c r="D128" s="90">
        <f>(E16*D98+E17*E35-MIN(E23*D98,E16*D98))/E15</f>
        <v>8.3501396223350213</v>
      </c>
      <c r="E128" s="90">
        <f>(F16*E98-MIN(F23*E98,F16*E98))/F15</f>
        <v>9.7579999999999654</v>
      </c>
      <c r="F128" s="19"/>
      <c r="G128" s="19"/>
    </row>
    <row r="129" spans="1:7" x14ac:dyDescent="0.3">
      <c r="A129" s="18">
        <v>2044</v>
      </c>
      <c r="B129" s="89">
        <f>(C16*B99+C19*C36)/C15</f>
        <v>16.889626666666665</v>
      </c>
      <c r="C129" s="89">
        <f>(D16*C99+D17*D35+D20*D37)/D15</f>
        <v>39.882327272727274</v>
      </c>
      <c r="D129" s="89">
        <f>(E16*D99+E17*E35-MIN(E23*D99,E16*D99))/E15</f>
        <v>8.2886117231376613</v>
      </c>
      <c r="E129" s="89">
        <f>(F16*E99-MIN(F23*E99,F16*E99))/F15</f>
        <v>9.4179999999999691</v>
      </c>
      <c r="F129" s="2"/>
      <c r="G129" s="2"/>
    </row>
    <row r="130" spans="1:7" x14ac:dyDescent="0.3">
      <c r="A130" s="17">
        <v>2045</v>
      </c>
      <c r="B130" s="90">
        <f>(C16*B100+C19*C36)/C15</f>
        <v>16.889626666666665</v>
      </c>
      <c r="C130" s="90">
        <f>(D16*C100+D17*D35+D20*D37)/D15</f>
        <v>39.436872727272728</v>
      </c>
      <c r="D130" s="90">
        <f>(E16*D100+E17*E35-MIN(E23*D100,E16*D100))/E15</f>
        <v>8.1435409181472114</v>
      </c>
      <c r="E130" s="90">
        <f>(F16*E100-MIN(F23*E100,F16*E100))/F15</f>
        <v>9.0779999999999728</v>
      </c>
      <c r="F130" s="19"/>
      <c r="G130" s="19"/>
    </row>
    <row r="131" spans="1:7" x14ac:dyDescent="0.3">
      <c r="A131" s="18">
        <v>2046</v>
      </c>
      <c r="B131" s="89">
        <f>(C16*B101+C19*C36)/C15</f>
        <v>16.889626666666665</v>
      </c>
      <c r="C131" s="89">
        <f>(D16*C101+D17*D35+D20*D37)/D15</f>
        <v>38.991418181818183</v>
      </c>
      <c r="D131" s="89">
        <f>(E16*D101+E17*E35-MIN(E23*D101,E16*D101))/E15</f>
        <v>8.0682953288570545</v>
      </c>
      <c r="E131" s="89">
        <f>(F16*E101-MIN(F23*E101,F16*E101))/F15</f>
        <v>8.7379999999999765</v>
      </c>
      <c r="F131" s="2"/>
      <c r="G131" s="2"/>
    </row>
    <row r="132" spans="1:7" x14ac:dyDescent="0.3">
      <c r="A132" s="17">
        <v>2047</v>
      </c>
      <c r="B132" s="90">
        <f>(C16*B102+C19*C36)/C15</f>
        <v>16.889626666666665</v>
      </c>
      <c r="C132" s="90">
        <f>(D16*C102+D17*D35+D20*D37)/D15</f>
        <v>38.545963636363638</v>
      </c>
      <c r="D132" s="90">
        <f>(E16*D102+E17*E35-MIN(E23*D102,E16*D102))/E15</f>
        <v>8.0104586611522581</v>
      </c>
      <c r="E132" s="90">
        <f>(F16*E102-MIN(F23*E102,F16*E102))/F15</f>
        <v>8.3979999999999801</v>
      </c>
      <c r="F132" s="19"/>
      <c r="G132" s="19"/>
    </row>
    <row r="133" spans="1:7" x14ac:dyDescent="0.3">
      <c r="A133" s="18">
        <v>2048</v>
      </c>
      <c r="B133" s="89">
        <f>(C16*B103+C19*C36)/C15</f>
        <v>16.889626666666665</v>
      </c>
      <c r="C133" s="89">
        <f>(D16*C103+D17*D35+D20*D37)/D15</f>
        <v>38.100509090909085</v>
      </c>
      <c r="D133" s="89">
        <f>(E16*D103+E17*E35-MIN(E23*D103,E16*D103))/E15</f>
        <v>7.9756427524628926</v>
      </c>
      <c r="E133" s="89">
        <f>(F16*E103-MIN(F23*E103,F16*E103))/F15</f>
        <v>8.0579999999999465</v>
      </c>
      <c r="F133" s="2"/>
      <c r="G133" s="2"/>
    </row>
    <row r="134" spans="1:7" x14ac:dyDescent="0.3">
      <c r="A134" s="17">
        <v>2049</v>
      </c>
      <c r="B134" s="90">
        <f>(C16*B104+C19*C36)/C15</f>
        <v>16.889626666666665</v>
      </c>
      <c r="C134" s="90">
        <f>(D16*C104+D17*D35+D20*D37)/D15</f>
        <v>37.65505454545454</v>
      </c>
      <c r="D134" s="90">
        <f>(E16*D104+E17*E35-MIN(E23*D104,E16*D104))/E15</f>
        <v>7.9305469833642928</v>
      </c>
      <c r="E134" s="90">
        <f>(F16*E104-MIN(F23*E104,F16*E104))/F15</f>
        <v>7.7179999999999493</v>
      </c>
      <c r="F134" s="19"/>
      <c r="G134" s="19"/>
    </row>
    <row r="135" spans="1:7" x14ac:dyDescent="0.3">
      <c r="A135" s="18">
        <v>2050</v>
      </c>
      <c r="B135" s="89">
        <f>(C16*B105+C19*C36)/C15</f>
        <v>16.889626666666665</v>
      </c>
      <c r="C135" s="89">
        <f>(D16*C105+D17*D35+D20*D37)/D15</f>
        <v>37.209599999999995</v>
      </c>
      <c r="D135" s="89">
        <f>(E16*D105+E17*E35-MIN(E23*D105,E16*D105))/E15</f>
        <v>7.9201748807218788</v>
      </c>
      <c r="E135" s="89">
        <f>(F16*E105-MIN(F23*E105,F16*E105))/F15</f>
        <v>7.3779999999999513</v>
      </c>
      <c r="F135" s="2"/>
      <c r="G135" s="2"/>
    </row>
    <row r="136" spans="1:7" x14ac:dyDescent="0.3">
      <c r="A136" s="18"/>
      <c r="B136" s="89"/>
      <c r="C136" s="89"/>
      <c r="D136" s="89"/>
      <c r="E136" s="89"/>
      <c r="F136" s="2"/>
      <c r="G136" s="2"/>
    </row>
    <row r="137" spans="1:7" x14ac:dyDescent="0.3">
      <c r="A137" s="13" t="s">
        <v>322</v>
      </c>
      <c r="B137" s="131"/>
      <c r="C137" s="131"/>
      <c r="D137" s="131"/>
      <c r="E137" s="131"/>
      <c r="F137" s="12"/>
      <c r="G137" s="12"/>
    </row>
    <row r="138" spans="1:7" x14ac:dyDescent="0.3">
      <c r="A138" s="5" t="s">
        <v>0</v>
      </c>
      <c r="B138" s="132" t="s">
        <v>1</v>
      </c>
      <c r="C138" s="132" t="s">
        <v>84</v>
      </c>
      <c r="D138" s="132" t="s">
        <v>79</v>
      </c>
      <c r="E138" s="132" t="s">
        <v>80</v>
      </c>
      <c r="F138" s="5" t="s">
        <v>337</v>
      </c>
      <c r="G138" s="5" t="s">
        <v>25</v>
      </c>
    </row>
    <row r="139" spans="1:7" x14ac:dyDescent="0.3">
      <c r="A139" s="134" t="s">
        <v>230</v>
      </c>
      <c r="B139" s="104" t="s">
        <v>42</v>
      </c>
      <c r="C139" s="104">
        <f>C59</f>
        <v>35.0558155493813</v>
      </c>
      <c r="D139" s="104">
        <f>D60</f>
        <v>179.61984038261701</v>
      </c>
      <c r="E139" s="104">
        <f>E68</f>
        <v>38.025824933278649</v>
      </c>
      <c r="F139" s="104">
        <f>F63</f>
        <v>33.940926009131999</v>
      </c>
      <c r="G139" s="135" t="s">
        <v>130</v>
      </c>
    </row>
    <row r="140" spans="1:7" x14ac:dyDescent="0.3">
      <c r="A140" s="136" t="s">
        <v>201</v>
      </c>
      <c r="B140" s="137" t="s">
        <v>47</v>
      </c>
      <c r="C140" s="48" cm="1">
        <f t="array" ref="C140">IFERROR(INDEX(A109:A135,MATCH(1,(B109:B135&gt;TRANSPOSE('Example Input'!L15:AL15))*1,0)),"Beyond 2050")</f>
        <v>2025</v>
      </c>
      <c r="D140" s="48" cm="1">
        <f t="array" ref="D140">IFERROR(INDEX(A109:A135,MATCH(1,(C109:C135&gt;TRANSPOSE('Example Input'!L16:AL16))*1,0)),"Beyond 2050")</f>
        <v>2036</v>
      </c>
      <c r="E140" s="48" cm="1">
        <f t="array" ref="E140">IFERROR(INDEX(A109:A135,MATCH(1,(D109:D135&gt;TRANSPOSE(0.65*'Example Input'!L17:AL17+0.35*'Example Input'!L18:AL18))*1,0)),"Beyond 2050")</f>
        <v>2036</v>
      </c>
      <c r="F140" s="48" cm="1">
        <f t="array" ref="F140">IFERROR(INDEX(A109:A135,MATCH(1,(E109:E135&gt;TRANSPOSE('Example Input'!L19:AL19))*1,0)),"Beyond 2050")</f>
        <v>2032</v>
      </c>
      <c r="G140" s="45" t="s">
        <v>323</v>
      </c>
    </row>
    <row r="141" spans="1:7" x14ac:dyDescent="0.3">
      <c r="A141" s="136" t="s">
        <v>48</v>
      </c>
      <c r="B141" s="137" t="s">
        <v>47</v>
      </c>
      <c r="C141" s="48" cm="1">
        <f t="array" ref="C141">IFERROR(INDEX('Example Input'!L5:AL5,MATCH(1,(C28&gt;'Example Input'!L25:AL25)*1,0)),"Beyond 2050")</f>
        <v>2024</v>
      </c>
      <c r="D141" s="48" cm="1">
        <f t="array" ref="D141">IFERROR(INDEX('Example Input'!L5:AL5,MATCH(1,(D28&gt;'Example Input'!L26:AL26)*1,0)),"Beyond 2050")</f>
        <v>2031</v>
      </c>
      <c r="E141" s="48" cm="1">
        <f t="array" ref="E141">IFERROR(INDEX('Example Input'!L5:AL5,MATCH(1,(E28&gt;(0.65*'Example Input'!L27:AL27+0.35*'Example Input'!L28:AL28))*1,0)),"Beyond 2050")</f>
        <v>2030</v>
      </c>
      <c r="F141" s="48" cm="1">
        <f t="array" ref="F141">IFERROR(INDEX('Example Input'!L5:AL5,MATCH(1,(F28&gt;'Example Input'!L29:AL29)*1,0)),"Beyond 2050")</f>
        <v>2030</v>
      </c>
      <c r="G141" s="45" t="s">
        <v>324</v>
      </c>
    </row>
    <row r="142" spans="1:7" x14ac:dyDescent="0.3">
      <c r="A142" s="138" t="s">
        <v>325</v>
      </c>
      <c r="B142" s="89"/>
      <c r="C142" s="89"/>
      <c r="D142" s="89"/>
      <c r="E142" s="89"/>
      <c r="F142" s="2"/>
      <c r="G142" s="2"/>
    </row>
    <row r="143" spans="1:7" x14ac:dyDescent="0.3">
      <c r="A143" s="18"/>
      <c r="B143" s="89"/>
      <c r="C143" s="89"/>
      <c r="D143" s="89"/>
      <c r="E143" s="89"/>
      <c r="F143" s="2"/>
      <c r="G143" s="2"/>
    </row>
    <row r="146" spans="1:7" ht="22.05" customHeight="1" x14ac:dyDescent="0.3">
      <c r="A146" s="144" t="s">
        <v>277</v>
      </c>
      <c r="B146" s="144"/>
      <c r="C146" s="144"/>
      <c r="D146" s="144"/>
      <c r="E146" s="144"/>
      <c r="F146" s="144"/>
      <c r="G146" s="102"/>
    </row>
    <row r="147" spans="1:7" s="1" customFormat="1" ht="31.8" customHeight="1" x14ac:dyDescent="0.3">
      <c r="A147" s="145" t="s">
        <v>302</v>
      </c>
      <c r="B147" s="145"/>
      <c r="C147" s="145"/>
      <c r="D147" s="145"/>
      <c r="E147" s="145"/>
      <c r="F147" s="145"/>
      <c r="G147" s="145"/>
    </row>
    <row r="149" spans="1:7" x14ac:dyDescent="0.3">
      <c r="A149" s="84" t="s">
        <v>278</v>
      </c>
      <c r="B149" s="12"/>
      <c r="C149" s="12"/>
      <c r="D149" s="12"/>
      <c r="E149" s="12"/>
      <c r="F149" s="12"/>
      <c r="G149" s="12"/>
    </row>
    <row r="150" spans="1:7" x14ac:dyDescent="0.3">
      <c r="A150" s="15" t="s">
        <v>0</v>
      </c>
      <c r="B150" s="15" t="s">
        <v>1</v>
      </c>
      <c r="C150" s="15" t="s">
        <v>84</v>
      </c>
      <c r="D150" s="15" t="s">
        <v>79</v>
      </c>
      <c r="E150" s="15" t="s">
        <v>80</v>
      </c>
      <c r="F150" s="15" t="s">
        <v>337</v>
      </c>
      <c r="G150" s="15" t="s">
        <v>25</v>
      </c>
    </row>
    <row r="151" spans="1:7" x14ac:dyDescent="0.3">
      <c r="A151" s="51" t="s">
        <v>279</v>
      </c>
      <c r="B151" s="101" t="s">
        <v>11</v>
      </c>
      <c r="C151" s="31">
        <v>2028</v>
      </c>
      <c r="D151" s="31">
        <v>2028</v>
      </c>
      <c r="E151" s="31">
        <v>2028</v>
      </c>
      <c r="F151" s="31">
        <v>2028</v>
      </c>
      <c r="G151" s="24" t="s">
        <v>280</v>
      </c>
    </row>
    <row r="152" spans="1:7" x14ac:dyDescent="0.3">
      <c r="A152" s="52" t="s">
        <v>281</v>
      </c>
      <c r="B152" s="83" t="s">
        <v>22</v>
      </c>
      <c r="C152" s="103">
        <v>0.2</v>
      </c>
      <c r="D152" s="103">
        <v>0.2</v>
      </c>
      <c r="E152" s="103">
        <v>0.2</v>
      </c>
      <c r="F152" s="103">
        <v>0.2</v>
      </c>
      <c r="G152" s="25" t="s">
        <v>303</v>
      </c>
    </row>
    <row r="154" spans="1:7" x14ac:dyDescent="0.3">
      <c r="A154" s="84" t="s">
        <v>282</v>
      </c>
      <c r="B154" s="12"/>
      <c r="C154" s="12"/>
      <c r="D154" s="12"/>
      <c r="E154" s="12"/>
      <c r="F154" s="12"/>
      <c r="G154" s="12"/>
    </row>
    <row r="155" spans="1:7" x14ac:dyDescent="0.3">
      <c r="A155" s="15" t="s">
        <v>0</v>
      </c>
      <c r="B155" s="15" t="s">
        <v>1</v>
      </c>
      <c r="C155" s="15" t="s">
        <v>84</v>
      </c>
      <c r="D155" s="15" t="s">
        <v>79</v>
      </c>
      <c r="E155" s="15" t="s">
        <v>80</v>
      </c>
      <c r="F155" s="15" t="s">
        <v>337</v>
      </c>
      <c r="G155" s="15" t="s">
        <v>25</v>
      </c>
    </row>
    <row r="156" spans="1:7" x14ac:dyDescent="0.3">
      <c r="A156" s="101" t="s">
        <v>283</v>
      </c>
      <c r="B156" s="101" t="s">
        <v>28</v>
      </c>
      <c r="C156" s="104">
        <f>C28*(1-C152)</f>
        <v>126.93333333333334</v>
      </c>
      <c r="D156" s="104">
        <f>D28*(1-D152)</f>
        <v>186.18181818181819</v>
      </c>
      <c r="E156" s="104">
        <f>E28*(1-E152)</f>
        <v>113.33333333333333</v>
      </c>
      <c r="F156" s="104">
        <f>F28*(1-F152)</f>
        <v>44.853333333333339</v>
      </c>
      <c r="G156" s="111" t="s">
        <v>304</v>
      </c>
    </row>
    <row r="157" spans="1:7" x14ac:dyDescent="0.3">
      <c r="A157" s="83" t="s">
        <v>284</v>
      </c>
      <c r="B157" s="83" t="s">
        <v>42</v>
      </c>
      <c r="C157" s="105">
        <f>INDEX(B$108:B$135,MATCH(C151,A$108:A$135,0))*(1-C152)</f>
        <v>22.218554002099893</v>
      </c>
      <c r="D157" s="105">
        <f>INDEX(C$108:C$135,MATCH(D151,A$108:A$135,0))*(1-D152)</f>
        <v>53.028174736669726</v>
      </c>
      <c r="E157" s="105">
        <f>INDEX(D$108:D$135,MATCH(E151,A$108:A$135,0))*(1-E152)</f>
        <v>11.676441430512583</v>
      </c>
      <c r="F157" s="105">
        <f>INDEX(E$108:E$135,MATCH(F151,A$108:A$135,0))*(1-F152)</f>
        <v>11.717760000000011</v>
      </c>
      <c r="G157" s="25" t="s">
        <v>285</v>
      </c>
    </row>
    <row r="158" spans="1:7" ht="27.6" x14ac:dyDescent="0.3">
      <c r="A158" s="106" t="s">
        <v>286</v>
      </c>
      <c r="B158" s="106" t="s">
        <v>47</v>
      </c>
      <c r="C158" s="107" cm="1">
        <f t="array" ref="C158">IFERROR(INDEX('Example Input'!L5:AL5,MATCH(1,(('Example Input'!L5:AL5&gt;=C151)*((C16*'Example Input'!L6:AL6+C19*C36)/C15*(1-C152)&gt;'Example Input'!L15:AL15))*1,0)),"Beyond 2050")</f>
        <v>2031</v>
      </c>
      <c r="D158" s="107" cm="1">
        <f t="array" ref="D158">IFERROR(INDEX('Example Input'!H5:AL5,MATCH(1,(('Example Input'!H5:AL5&gt;=D151)*((D16*'Example Input'!H7:AL7+D17*D35+D20*D37)/D15*(1-D152)&gt;'Example Input'!H16:AL16))*1,0)),"Beyond 2050")</f>
        <v>2037</v>
      </c>
      <c r="E158" s="107" cm="1">
        <f t="array" ref="E158">IFERROR(INDEX('Example Input'!H5:AL5,MATCH(1,(('Example Input'!H5:AL5&gt;=E151)*((E16*'Example Input'!H8:AL8+E17*E35-MIN(E23*'Example Input'!H8:AL8,E16*'Example Input'!H8:AL8))/E15*(1-E152)&gt;(0.65*'Example Input'!H17:AL17+0.35*'Example Input'!H18:AL18)))*1,0)),"Beyond 2050")</f>
        <v>2037</v>
      </c>
      <c r="F158" s="107" cm="1">
        <f t="array" ref="F158">IFERROR(INDEX('Example Input'!H5:AL5,MATCH(1,(('Example Input'!H5:AL5&gt;=F151)*((F16*'Example Input'!H9:AL9-MIN(F23*'Example Input'!H9:AL9,F16*'Example Input'!H9:AL9))/F15*(1-F152)&gt;'Example Input'!H19:AL19))*1,0)),"Beyond 2050")</f>
        <v>2033</v>
      </c>
      <c r="G158" s="50" t="s">
        <v>287</v>
      </c>
    </row>
    <row r="159" spans="1:7" ht="27.6" x14ac:dyDescent="0.3">
      <c r="A159" s="106" t="s">
        <v>288</v>
      </c>
      <c r="B159" s="106" t="s">
        <v>47</v>
      </c>
      <c r="C159" s="107" cm="1">
        <f t="array" ref="C159">IFERROR(INDEX('Example Input'!H5:AL5,MATCH(1,(C156&gt;'Example Input'!H25:AL25)*1,0)),"Beyond 2050")</f>
        <v>2027</v>
      </c>
      <c r="D159" s="107" cm="1">
        <f t="array" ref="D159">IFERROR(INDEX('Example Input'!H5:AL5,MATCH(1,(D156&gt;'Example Input'!H26:AL26)*1,0)),"Beyond 2050")</f>
        <v>2034</v>
      </c>
      <c r="E159" s="107" cm="1">
        <f t="array" ref="E159">IFERROR(INDEX('Example Input'!H5:AL5,MATCH(1,(E156&gt;(0.65*'Example Input'!H27:AL27+0.35*'Example Input'!H28:AL28))*1,0)),"Beyond 2050")</f>
        <v>2033</v>
      </c>
      <c r="F159" s="107" cm="1">
        <f t="array" ref="F159">IFERROR(INDEX('Example Input'!H5:AL5,MATCH(1,(F156&gt;'Example Input'!H29:AL29)*1,0)),"Beyond 2050")</f>
        <v>2032</v>
      </c>
      <c r="G159" s="50" t="s">
        <v>289</v>
      </c>
    </row>
    <row r="161" spans="1:7" x14ac:dyDescent="0.3">
      <c r="A161" s="84" t="s">
        <v>290</v>
      </c>
      <c r="B161" s="12"/>
      <c r="C161" s="12"/>
      <c r="D161" s="12"/>
      <c r="E161" s="12"/>
      <c r="F161" s="12"/>
      <c r="G161" s="12"/>
    </row>
    <row r="162" spans="1:7" x14ac:dyDescent="0.3">
      <c r="A162" s="101" t="s">
        <v>291</v>
      </c>
      <c r="B162" s="101" t="s">
        <v>47</v>
      </c>
      <c r="C162" s="108">
        <f>C140</f>
        <v>2025</v>
      </c>
      <c r="D162" s="108">
        <f>D140</f>
        <v>2036</v>
      </c>
      <c r="E162" s="108">
        <f>E140</f>
        <v>2036</v>
      </c>
      <c r="F162" s="108">
        <f>F140</f>
        <v>2032</v>
      </c>
      <c r="G162" s="24" t="s">
        <v>292</v>
      </c>
    </row>
    <row r="163" spans="1:7" x14ac:dyDescent="0.3">
      <c r="A163" s="83" t="s">
        <v>293</v>
      </c>
      <c r="B163" s="83" t="s">
        <v>47</v>
      </c>
      <c r="C163" s="109">
        <f>C158</f>
        <v>2031</v>
      </c>
      <c r="D163" s="109">
        <f>D158</f>
        <v>2037</v>
      </c>
      <c r="E163" s="109">
        <f>E158</f>
        <v>2037</v>
      </c>
      <c r="F163" s="109">
        <f>F158</f>
        <v>2033</v>
      </c>
      <c r="G163" s="25" t="s">
        <v>294</v>
      </c>
    </row>
    <row r="164" spans="1:7" x14ac:dyDescent="0.3">
      <c r="A164" s="51" t="s">
        <v>295</v>
      </c>
      <c r="B164" s="51" t="s">
        <v>296</v>
      </c>
      <c r="C164" s="110">
        <f>IF(OR(C163="Beyond 2050",C162="Beyond 2050"),"n/a",C163-C162)</f>
        <v>6</v>
      </c>
      <c r="D164" s="110">
        <f>IF(OR(D163="Beyond 2050",D162="Beyond 2050"),"n/a",D163-D162)</f>
        <v>1</v>
      </c>
      <c r="E164" s="110">
        <f>IF(OR(E163="Beyond 2050",E162="Beyond 2050"),"n/a",E163-E162)</f>
        <v>1</v>
      </c>
      <c r="F164" s="110">
        <f>IF(OR(F163="Beyond 2050",F162="Beyond 2050"),"n/a",F163-F162)</f>
        <v>1</v>
      </c>
      <c r="G164" s="24" t="s">
        <v>342</v>
      </c>
    </row>
    <row r="166" spans="1:7" ht="17.399999999999999" x14ac:dyDescent="0.35">
      <c r="A166" s="7" t="s">
        <v>52</v>
      </c>
      <c r="B166" s="7"/>
      <c r="C166" s="7"/>
      <c r="D166" s="7"/>
      <c r="E166" s="7"/>
      <c r="F166" s="7"/>
      <c r="G166" s="7"/>
    </row>
    <row r="167" spans="1:7" x14ac:dyDescent="0.3">
      <c r="A167" s="5" t="s">
        <v>49</v>
      </c>
      <c r="B167" s="4"/>
      <c r="C167" s="5" t="s">
        <v>24</v>
      </c>
      <c r="D167" s="4"/>
      <c r="E167" s="4"/>
      <c r="F167" s="4"/>
      <c r="G167" s="4"/>
    </row>
    <row r="168" spans="1:7" x14ac:dyDescent="0.3">
      <c r="A168" s="133" t="s">
        <v>53</v>
      </c>
      <c r="C168" s="139" t="s">
        <v>299</v>
      </c>
    </row>
    <row r="169" spans="1:7" x14ac:dyDescent="0.3">
      <c r="A169" s="120" t="s">
        <v>27</v>
      </c>
      <c r="C169" s="140" t="s">
        <v>29</v>
      </c>
    </row>
    <row r="170" spans="1:7" x14ac:dyDescent="0.3">
      <c r="A170" s="133" t="s">
        <v>300</v>
      </c>
      <c r="C170" s="139" t="s">
        <v>326</v>
      </c>
    </row>
    <row r="171" spans="1:7" x14ac:dyDescent="0.3">
      <c r="A171" s="120" t="s">
        <v>54</v>
      </c>
      <c r="C171" s="140" t="s">
        <v>327</v>
      </c>
    </row>
    <row r="172" spans="1:7" x14ac:dyDescent="0.3">
      <c r="A172" s="133" t="s">
        <v>55</v>
      </c>
      <c r="C172" s="139" t="s">
        <v>328</v>
      </c>
    </row>
    <row r="173" spans="1:7" x14ac:dyDescent="0.3">
      <c r="A173" s="120" t="s">
        <v>56</v>
      </c>
      <c r="C173" s="140" t="s">
        <v>329</v>
      </c>
    </row>
    <row r="175" spans="1:7" ht="17.399999999999999" x14ac:dyDescent="0.35">
      <c r="A175" s="7" t="s">
        <v>57</v>
      </c>
      <c r="B175" s="6"/>
      <c r="C175" s="6"/>
      <c r="D175" s="6"/>
      <c r="E175" s="6"/>
      <c r="F175" s="6"/>
      <c r="G175" s="6"/>
    </row>
    <row r="176" spans="1:7" x14ac:dyDescent="0.3">
      <c r="A176" s="5" t="s">
        <v>58</v>
      </c>
      <c r="B176" s="4"/>
      <c r="C176" s="5" t="s">
        <v>59</v>
      </c>
      <c r="D176" s="4"/>
      <c r="E176" s="4"/>
      <c r="F176" s="4"/>
      <c r="G176" s="4"/>
    </row>
    <row r="177" spans="1:3" x14ac:dyDescent="0.3">
      <c r="A177" s="133" t="s">
        <v>60</v>
      </c>
      <c r="C177" s="85" t="s">
        <v>61</v>
      </c>
    </row>
    <row r="178" spans="1:3" x14ac:dyDescent="0.3">
      <c r="A178" s="120" t="s">
        <v>62</v>
      </c>
      <c r="C178" s="83" t="s">
        <v>122</v>
      </c>
    </row>
    <row r="179" spans="1:3" x14ac:dyDescent="0.3">
      <c r="A179" s="133" t="s">
        <v>63</v>
      </c>
      <c r="C179" s="85" t="s">
        <v>301</v>
      </c>
    </row>
    <row r="180" spans="1:3" x14ac:dyDescent="0.3">
      <c r="A180" s="120" t="s">
        <v>174</v>
      </c>
      <c r="C180" s="83" t="s">
        <v>330</v>
      </c>
    </row>
  </sheetData>
  <mergeCells count="12">
    <mergeCell ref="A146:F146"/>
    <mergeCell ref="A147:G147"/>
    <mergeCell ref="A75:G75"/>
    <mergeCell ref="A1:G1"/>
    <mergeCell ref="A2:G2"/>
    <mergeCell ref="A3:G3"/>
    <mergeCell ref="A5:G5"/>
    <mergeCell ref="A32:G32"/>
    <mergeCell ref="A57:G57"/>
    <mergeCell ref="A71:G71"/>
    <mergeCell ref="A29:G29"/>
    <mergeCell ref="A41:G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1EEBB-FB6A-48A5-AFAB-B63E1A86B2C1}">
  <dimension ref="A1:G123"/>
  <sheetViews>
    <sheetView workbookViewId="0">
      <selection sqref="A1:G1"/>
    </sheetView>
  </sheetViews>
  <sheetFormatPr defaultRowHeight="14.4" x14ac:dyDescent="0.3"/>
  <cols>
    <col min="1" max="1" width="37" customWidth="1"/>
    <col min="2" max="2" width="18.5546875" customWidth="1"/>
    <col min="3" max="6" width="20.33203125" customWidth="1"/>
    <col min="7" max="7" width="46.33203125" style="1" customWidth="1"/>
  </cols>
  <sheetData>
    <row r="1" spans="1:7" ht="17.399999999999999" x14ac:dyDescent="0.35">
      <c r="A1" s="176" t="s">
        <v>176</v>
      </c>
      <c r="B1" s="176"/>
      <c r="C1" s="176"/>
      <c r="D1" s="176"/>
      <c r="E1" s="176"/>
      <c r="F1" s="176"/>
      <c r="G1" s="176"/>
    </row>
    <row r="2" spans="1:7" x14ac:dyDescent="0.3">
      <c r="A2" s="177" t="s">
        <v>147</v>
      </c>
      <c r="B2" s="177"/>
      <c r="C2" s="177"/>
      <c r="D2" s="177"/>
      <c r="E2" s="177"/>
      <c r="F2" s="177"/>
      <c r="G2" s="177"/>
    </row>
    <row r="3" spans="1:7" x14ac:dyDescent="0.3">
      <c r="A3" s="178" t="s">
        <v>148</v>
      </c>
      <c r="B3" s="178"/>
      <c r="C3" s="178"/>
      <c r="D3" s="178"/>
      <c r="E3" s="178"/>
      <c r="F3" s="178"/>
      <c r="G3" s="178"/>
    </row>
    <row r="4" spans="1:7" x14ac:dyDescent="0.3">
      <c r="A4" s="143" t="s">
        <v>331</v>
      </c>
    </row>
    <row r="5" spans="1:7" x14ac:dyDescent="0.3">
      <c r="A5" s="159" t="s">
        <v>145</v>
      </c>
      <c r="B5" s="159"/>
      <c r="C5" s="159"/>
      <c r="D5" s="159"/>
      <c r="E5" s="159"/>
      <c r="F5" s="159"/>
      <c r="G5" s="159"/>
    </row>
    <row r="6" spans="1:7" x14ac:dyDescent="0.3">
      <c r="A6" s="15" t="s">
        <v>0</v>
      </c>
      <c r="B6" s="15" t="s">
        <v>1</v>
      </c>
      <c r="C6" s="15" t="s">
        <v>70</v>
      </c>
      <c r="D6" s="15" t="s">
        <v>71</v>
      </c>
      <c r="E6" s="15" t="s">
        <v>72</v>
      </c>
      <c r="F6" s="15" t="s">
        <v>73</v>
      </c>
      <c r="G6" s="40" t="s">
        <v>25</v>
      </c>
    </row>
    <row r="7" spans="1:7" x14ac:dyDescent="0.3">
      <c r="A7" s="51" t="s">
        <v>2</v>
      </c>
      <c r="B7" s="51" t="s">
        <v>3</v>
      </c>
      <c r="C7" s="23" t="s">
        <v>123</v>
      </c>
      <c r="D7" s="23" t="s">
        <v>124</v>
      </c>
      <c r="E7" s="23" t="s">
        <v>125</v>
      </c>
      <c r="F7" s="23" t="s">
        <v>126</v>
      </c>
      <c r="G7" s="24" t="s">
        <v>149</v>
      </c>
    </row>
    <row r="8" spans="1:7" x14ac:dyDescent="0.3">
      <c r="A8" s="52" t="s">
        <v>5</v>
      </c>
      <c r="B8" s="52" t="s">
        <v>3</v>
      </c>
      <c r="C8" s="16" t="s">
        <v>113</v>
      </c>
      <c r="D8" s="16" t="s">
        <v>111</v>
      </c>
      <c r="E8" s="16" t="s">
        <v>112</v>
      </c>
      <c r="F8" s="16" t="s">
        <v>341</v>
      </c>
      <c r="G8" s="25"/>
    </row>
    <row r="9" spans="1:7" x14ac:dyDescent="0.3">
      <c r="A9" s="51" t="s">
        <v>8</v>
      </c>
      <c r="B9" s="51" t="s">
        <v>3</v>
      </c>
      <c r="C9" s="23" t="s">
        <v>86</v>
      </c>
      <c r="D9" s="23" t="s">
        <v>75</v>
      </c>
      <c r="E9" s="23" t="s">
        <v>64</v>
      </c>
      <c r="F9" s="23" t="s">
        <v>333</v>
      </c>
      <c r="G9" s="24"/>
    </row>
    <row r="10" spans="1:7" x14ac:dyDescent="0.3">
      <c r="A10" s="52" t="s">
        <v>9</v>
      </c>
      <c r="B10" s="52" t="s">
        <v>3</v>
      </c>
      <c r="C10" s="16" t="s">
        <v>65</v>
      </c>
      <c r="D10" s="16" t="s">
        <v>211</v>
      </c>
      <c r="E10" s="16" t="s">
        <v>66</v>
      </c>
      <c r="F10" s="16" t="s">
        <v>333</v>
      </c>
      <c r="G10" s="25"/>
    </row>
    <row r="11" spans="1:7" x14ac:dyDescent="0.3">
      <c r="A11" s="51" t="s">
        <v>12</v>
      </c>
      <c r="B11" s="51" t="s">
        <v>13</v>
      </c>
      <c r="C11" s="26">
        <f>'Asset Level Worked Examples'!C15</f>
        <v>7500</v>
      </c>
      <c r="D11" s="26">
        <f>'Asset Level Worked Examples'!D15</f>
        <v>22000</v>
      </c>
      <c r="E11" s="26">
        <f>'Asset Level Worked Examples'!E15</f>
        <v>12000</v>
      </c>
      <c r="F11" s="26">
        <f>'Asset Level Worked Examples'!F15</f>
        <v>15000</v>
      </c>
      <c r="G11" s="24" t="s">
        <v>150</v>
      </c>
    </row>
    <row r="12" spans="1:7" x14ac:dyDescent="0.3">
      <c r="A12" s="52" t="s">
        <v>41</v>
      </c>
      <c r="B12" s="52" t="s">
        <v>42</v>
      </c>
      <c r="C12" s="28">
        <f>'Asset Level Worked Examples'!C54</f>
        <v>34.905802317835175</v>
      </c>
      <c r="D12" s="28">
        <f>'Asset Level Worked Examples'!D54</f>
        <v>106.61827344432982</v>
      </c>
      <c r="E12" s="28">
        <f>'Asset Level Worked Examples'!E54</f>
        <v>20.196516879118199</v>
      </c>
      <c r="F12" s="28">
        <f>'Asset Level Worked Examples'!F54</f>
        <v>15.58560000000001</v>
      </c>
      <c r="G12" s="25" t="s">
        <v>151</v>
      </c>
    </row>
    <row r="13" spans="1:7" x14ac:dyDescent="0.3">
      <c r="A13" s="51" t="s">
        <v>27</v>
      </c>
      <c r="B13" s="51" t="s">
        <v>28</v>
      </c>
      <c r="C13" s="27">
        <f>'Asset Level Worked Examples'!C28</f>
        <v>158.66666666666666</v>
      </c>
      <c r="D13" s="27">
        <f>'Asset Level Worked Examples'!D28</f>
        <v>232.72727272727272</v>
      </c>
      <c r="E13" s="27">
        <f>'Asset Level Worked Examples'!E28</f>
        <v>141.66666666666666</v>
      </c>
      <c r="F13" s="27">
        <f>'Asset Level Worked Examples'!F28</f>
        <v>56.06666666666667</v>
      </c>
      <c r="G13" s="24" t="s">
        <v>152</v>
      </c>
    </row>
    <row r="14" spans="1:7" x14ac:dyDescent="0.3">
      <c r="A14" s="52" t="s">
        <v>116</v>
      </c>
      <c r="B14" s="52" t="s">
        <v>127</v>
      </c>
      <c r="C14" s="68">
        <f>'Asset Level Worked Examples'!C9</f>
        <v>185000000</v>
      </c>
      <c r="D14" s="68">
        <f>'Asset Level Worked Examples'!D9</f>
        <v>420000000</v>
      </c>
      <c r="E14" s="68">
        <f>'Asset Level Worked Examples'!E9</f>
        <v>95000000</v>
      </c>
      <c r="F14" s="68">
        <f>'Asset Level Worked Examples'!F9</f>
        <v>62000000</v>
      </c>
      <c r="G14" s="25" t="s">
        <v>153</v>
      </c>
    </row>
    <row r="15" spans="1:7" x14ac:dyDescent="0.3">
      <c r="A15" s="51" t="s">
        <v>230</v>
      </c>
      <c r="B15" s="51" t="s">
        <v>42</v>
      </c>
      <c r="C15" s="27">
        <f>'Asset Level Worked Examples'!C59</f>
        <v>35.0558155493813</v>
      </c>
      <c r="D15" s="27">
        <f>'Asset Level Worked Examples'!D60</f>
        <v>179.61984038261701</v>
      </c>
      <c r="E15" s="27">
        <f>'Asset Level Worked Examples'!E68</f>
        <v>38.025824933278649</v>
      </c>
      <c r="F15" s="27">
        <f>'Asset Level Worked Examples'!F63</f>
        <v>33.940926009131999</v>
      </c>
      <c r="G15" s="24" t="s">
        <v>196</v>
      </c>
    </row>
    <row r="16" spans="1:7" x14ac:dyDescent="0.3">
      <c r="A16" s="51" t="s">
        <v>187</v>
      </c>
      <c r="B16" s="51" t="s">
        <v>28</v>
      </c>
      <c r="C16" s="27">
        <f>'Example Input'!L25</f>
        <v>143.720312778687</v>
      </c>
      <c r="D16" s="27">
        <f>'Example Input'!L26</f>
        <v>340.35110034024001</v>
      </c>
      <c r="E16" s="27">
        <f>0.65*'Example Input'!L27+0.35*'Example Input'!L28</f>
        <v>190.92014401291908</v>
      </c>
      <c r="F16" s="27">
        <f>'Example Input'!L29</f>
        <v>92.888477803613</v>
      </c>
      <c r="G16" s="24" t="s">
        <v>196</v>
      </c>
    </row>
    <row r="17" spans="1:7" ht="36.6" x14ac:dyDescent="0.3">
      <c r="A17" s="52" t="s">
        <v>199</v>
      </c>
      <c r="B17" s="52" t="s">
        <v>3</v>
      </c>
      <c r="C17" s="28" t="s">
        <v>220</v>
      </c>
      <c r="D17" s="28" t="s">
        <v>162</v>
      </c>
      <c r="E17" s="28" t="s">
        <v>77</v>
      </c>
      <c r="F17" s="28" t="s">
        <v>334</v>
      </c>
      <c r="G17" s="25" t="s">
        <v>200</v>
      </c>
    </row>
    <row r="19" spans="1:7" x14ac:dyDescent="0.3">
      <c r="A19" s="159" t="s">
        <v>146</v>
      </c>
      <c r="B19" s="159"/>
      <c r="C19" s="159"/>
      <c r="D19" s="159"/>
      <c r="E19" s="159"/>
      <c r="F19" s="159"/>
      <c r="G19" s="159"/>
    </row>
    <row r="20" spans="1:7" x14ac:dyDescent="0.3">
      <c r="A20" s="157" t="s">
        <v>136</v>
      </c>
      <c r="B20" s="157"/>
      <c r="C20" s="157"/>
      <c r="D20" s="157"/>
      <c r="E20" s="157"/>
      <c r="F20" s="157"/>
      <c r="G20" s="157"/>
    </row>
    <row r="21" spans="1:7" x14ac:dyDescent="0.3">
      <c r="A21" s="15" t="s">
        <v>23</v>
      </c>
      <c r="B21" s="15" t="s">
        <v>1</v>
      </c>
      <c r="C21" s="15" t="s">
        <v>70</v>
      </c>
      <c r="D21" s="15" t="s">
        <v>71</v>
      </c>
      <c r="E21" s="15" t="s">
        <v>72</v>
      </c>
      <c r="F21" s="15" t="s">
        <v>73</v>
      </c>
      <c r="G21" s="40" t="s">
        <v>25</v>
      </c>
    </row>
    <row r="22" spans="1:7" x14ac:dyDescent="0.3">
      <c r="A22" s="51" t="s">
        <v>135</v>
      </c>
      <c r="B22" s="51" t="s">
        <v>13</v>
      </c>
      <c r="C22" s="174">
        <f>SUM(C11:F11)</f>
        <v>56500</v>
      </c>
      <c r="D22" s="175"/>
      <c r="E22" s="175"/>
      <c r="F22" s="175"/>
      <c r="G22" s="24" t="s">
        <v>154</v>
      </c>
    </row>
    <row r="23" spans="1:7" x14ac:dyDescent="0.3">
      <c r="A23" s="52" t="s">
        <v>137</v>
      </c>
      <c r="B23" s="52" t="s">
        <v>22</v>
      </c>
      <c r="C23" s="53">
        <f>C11/$C$22</f>
        <v>0.13274336283185842</v>
      </c>
      <c r="D23" s="53">
        <f>D11/$C$22</f>
        <v>0.38938053097345132</v>
      </c>
      <c r="E23" s="53">
        <f>E11/$C$22</f>
        <v>0.21238938053097345</v>
      </c>
      <c r="F23" s="53">
        <f>F11/$C$22</f>
        <v>0.26548672566371684</v>
      </c>
      <c r="G23" s="25" t="s">
        <v>155</v>
      </c>
    </row>
    <row r="25" spans="1:7" x14ac:dyDescent="0.3">
      <c r="A25" s="157" t="s">
        <v>138</v>
      </c>
      <c r="B25" s="157"/>
      <c r="C25" s="157"/>
      <c r="D25" s="157"/>
      <c r="E25" s="157"/>
      <c r="F25" s="157"/>
      <c r="G25" s="157"/>
    </row>
    <row r="26" spans="1:7" x14ac:dyDescent="0.3">
      <c r="A26" s="15" t="s">
        <v>49</v>
      </c>
      <c r="B26" s="15" t="s">
        <v>1</v>
      </c>
      <c r="C26" s="15" t="s">
        <v>156</v>
      </c>
      <c r="D26" s="15"/>
      <c r="E26" s="15"/>
      <c r="F26" s="15"/>
      <c r="G26" s="40" t="s">
        <v>25</v>
      </c>
    </row>
    <row r="27" spans="1:7" ht="24.6" x14ac:dyDescent="0.3">
      <c r="A27" s="20" t="s">
        <v>51</v>
      </c>
      <c r="B27" s="20" t="s">
        <v>42</v>
      </c>
      <c r="C27" s="164">
        <f>SUMPRODUCT(C23:F23,C12:F12)</f>
        <v>54.575889127582982</v>
      </c>
      <c r="D27" s="165"/>
      <c r="E27" s="165"/>
      <c r="F27" s="165"/>
      <c r="G27" s="54" t="s">
        <v>157</v>
      </c>
    </row>
    <row r="28" spans="1:7" ht="24.6" x14ac:dyDescent="0.3">
      <c r="A28" s="20" t="s">
        <v>50</v>
      </c>
      <c r="B28" s="20" t="s">
        <v>28</v>
      </c>
      <c r="C28" s="164">
        <f>SUMPRODUCT(C23:F23,C13:F13)</f>
        <v>156.65486725663717</v>
      </c>
      <c r="D28" s="165"/>
      <c r="E28" s="165"/>
      <c r="F28" s="165"/>
      <c r="G28" s="54" t="s">
        <v>158</v>
      </c>
    </row>
    <row r="30" spans="1:7" x14ac:dyDescent="0.3">
      <c r="A30" s="158" t="s">
        <v>307</v>
      </c>
      <c r="B30" s="158"/>
      <c r="C30" s="158"/>
      <c r="D30" s="158"/>
      <c r="E30" s="158"/>
      <c r="F30" s="158"/>
      <c r="G30" s="158"/>
    </row>
    <row r="31" spans="1:7" ht="40.049999999999997" customHeight="1" x14ac:dyDescent="0.3">
      <c r="A31" s="167" t="s">
        <v>310</v>
      </c>
      <c r="B31" s="167"/>
      <c r="C31" s="167"/>
      <c r="D31" s="167"/>
      <c r="E31" s="167"/>
      <c r="F31" s="167"/>
      <c r="G31" s="167"/>
    </row>
    <row r="33" spans="1:7" x14ac:dyDescent="0.3">
      <c r="A33" s="118" t="s">
        <v>74</v>
      </c>
      <c r="B33" s="118" t="s">
        <v>183</v>
      </c>
      <c r="C33" s="118" t="s">
        <v>184</v>
      </c>
      <c r="D33" s="118" t="s">
        <v>185</v>
      </c>
      <c r="E33" s="118" t="s">
        <v>186</v>
      </c>
      <c r="F33" s="118" t="s">
        <v>311</v>
      </c>
      <c r="G33" s="119" t="s">
        <v>312</v>
      </c>
    </row>
    <row r="34" spans="1:7" x14ac:dyDescent="0.3">
      <c r="A34" s="121">
        <v>2024</v>
      </c>
      <c r="B34" s="122">
        <f>'Asset Level Worked Examples'!B109</f>
        <v>34.905802317835175</v>
      </c>
      <c r="C34" s="122">
        <f>'Asset Level Worked Examples'!C109</f>
        <v>106.61827344432982</v>
      </c>
      <c r="D34" s="122">
        <f>'Asset Level Worked Examples'!D109</f>
        <v>20.196516879118199</v>
      </c>
      <c r="E34" s="122">
        <f>'Asset Level Worked Examples'!E109</f>
        <v>15.58560000000001</v>
      </c>
      <c r="F34" s="123">
        <f>B34*$C$23+C34*$D$23+D34*$E$23+E34*$F$23</f>
        <v>54.575889127582982</v>
      </c>
      <c r="G34" s="124">
        <f>B72</f>
        <v>91.681042378305449</v>
      </c>
    </row>
    <row r="35" spans="1:7" x14ac:dyDescent="0.3">
      <c r="A35" s="125">
        <v>2025</v>
      </c>
      <c r="B35" s="126">
        <f>'Asset Level Worked Examples'!B110</f>
        <v>32.213191019399758</v>
      </c>
      <c r="C35" s="126">
        <f>'Asset Level Worked Examples'!C110</f>
        <v>96.535009688456668</v>
      </c>
      <c r="D35" s="126">
        <f>'Asset Level Worked Examples'!D110</f>
        <v>18.796275606373772</v>
      </c>
      <c r="E35" s="126">
        <f>'Asset Level Worked Examples'!E110</f>
        <v>15.350999999999985</v>
      </c>
      <c r="F35" s="127">
        <f t="shared" ref="F35:F60" si="0">B35*$C$23+C35*$D$23+D35*$E$23+E35*$F$23</f>
        <v>49.932556691469557</v>
      </c>
      <c r="G35" s="128">
        <f t="shared" ref="G35:G60" si="1">B73</f>
        <v>83.79532685107975</v>
      </c>
    </row>
    <row r="36" spans="1:7" x14ac:dyDescent="0.3">
      <c r="A36" s="121">
        <v>2026</v>
      </c>
      <c r="B36" s="122">
        <f>'Asset Level Worked Examples'!B111</f>
        <v>29.520579720964339</v>
      </c>
      <c r="C36" s="122">
        <f>'Asset Level Worked Examples'!C111</f>
        <v>86.451745932583535</v>
      </c>
      <c r="D36" s="122">
        <f>'Asset Level Worked Examples'!D111</f>
        <v>17.39603433362943</v>
      </c>
      <c r="E36" s="122">
        <f>'Asset Level Worked Examples'!E111</f>
        <v>15.116399999999992</v>
      </c>
      <c r="F36" s="123">
        <f t="shared" si="0"/>
        <v>45.28922425535616</v>
      </c>
      <c r="G36" s="124">
        <f t="shared" si="1"/>
        <v>75.65346300824433</v>
      </c>
    </row>
    <row r="37" spans="1:7" x14ac:dyDescent="0.3">
      <c r="A37" s="125">
        <v>2027</v>
      </c>
      <c r="B37" s="126">
        <f>'Asset Level Worked Examples'!B112</f>
        <v>28.646886111794529</v>
      </c>
      <c r="C37" s="126">
        <f>'Asset Level Worked Examples'!C112</f>
        <v>76.368482176710401</v>
      </c>
      <c r="D37" s="126">
        <f>'Asset Level Worked Examples'!D112</f>
        <v>15.995793060885092</v>
      </c>
      <c r="E37" s="126">
        <f>'Asset Level Worked Examples'!E112</f>
        <v>14.881800000000002</v>
      </c>
      <c r="F37" s="127">
        <f t="shared" si="0"/>
        <v>40.887341070030253</v>
      </c>
      <c r="G37" s="128">
        <f t="shared" si="1"/>
        <v>68.21354883310164</v>
      </c>
    </row>
    <row r="38" spans="1:7" x14ac:dyDescent="0.3">
      <c r="A38" s="121">
        <v>2028</v>
      </c>
      <c r="B38" s="122">
        <f>'Asset Level Worked Examples'!B113</f>
        <v>27.773192502624866</v>
      </c>
      <c r="C38" s="122">
        <f>'Asset Level Worked Examples'!C113</f>
        <v>66.285218420837154</v>
      </c>
      <c r="D38" s="122">
        <f>'Asset Level Worked Examples'!D113</f>
        <v>14.595551788140726</v>
      </c>
      <c r="E38" s="122">
        <f>'Asset Level Worked Examples'!E113</f>
        <v>14.647200000000012</v>
      </c>
      <c r="F38" s="123">
        <f t="shared" si="0"/>
        <v>36.485457884704303</v>
      </c>
      <c r="G38" s="124">
        <f t="shared" si="1"/>
        <v>61.159783625335805</v>
      </c>
    </row>
    <row r="39" spans="1:7" x14ac:dyDescent="0.3">
      <c r="A39" s="125">
        <v>2029</v>
      </c>
      <c r="B39" s="126">
        <f>'Asset Level Worked Examples'!B114</f>
        <v>24.406151049742654</v>
      </c>
      <c r="C39" s="126">
        <f>'Asset Level Worked Examples'!C114</f>
        <v>56.201954664964042</v>
      </c>
      <c r="D39" s="126">
        <f>'Asset Level Worked Examples'!D114</f>
        <v>13.195310515396359</v>
      </c>
      <c r="E39" s="126">
        <f>'Asset Level Worked Examples'!E114</f>
        <v>14.412599999999989</v>
      </c>
      <c r="F39" s="127">
        <f t="shared" si="0"/>
        <v>31.752599321894426</v>
      </c>
      <c r="G39" s="128">
        <f t="shared" si="1"/>
        <v>54.49026950653483</v>
      </c>
    </row>
    <row r="40" spans="1:7" x14ac:dyDescent="0.3">
      <c r="A40" s="121">
        <v>2030</v>
      </c>
      <c r="B40" s="122">
        <f>'Asset Level Worked Examples'!B115</f>
        <v>21.039109596860449</v>
      </c>
      <c r="C40" s="122">
        <f>'Asset Level Worked Examples'!C115</f>
        <v>46.118690909090908</v>
      </c>
      <c r="D40" s="122">
        <f>'Asset Level Worked Examples'!D115</f>
        <v>11.795069242651994</v>
      </c>
      <c r="E40" s="122">
        <f>'Asset Level Worked Examples'!E115</f>
        <v>14.177999999999994</v>
      </c>
      <c r="F40" s="123">
        <f t="shared" si="0"/>
        <v>27.019740759084549</v>
      </c>
      <c r="G40" s="124">
        <f t="shared" si="1"/>
        <v>47.984062699366518</v>
      </c>
    </row>
    <row r="41" spans="1:7" x14ac:dyDescent="0.3">
      <c r="A41" s="125">
        <v>2031</v>
      </c>
      <c r="B41" s="126">
        <f>'Asset Level Worked Examples'!B116</f>
        <v>20.55065866682169</v>
      </c>
      <c r="C41" s="126">
        <f>'Asset Level Worked Examples'!C116</f>
        <v>45.673236363636363</v>
      </c>
      <c r="D41" s="126">
        <f>'Asset Level Worked Examples'!D116</f>
        <v>10.865276638326371</v>
      </c>
      <c r="E41" s="126">
        <f>'Asset Level Worked Examples'!E116</f>
        <v>13.837999999999999</v>
      </c>
      <c r="F41" s="127">
        <f t="shared" si="0"/>
        <v>26.493707250638565</v>
      </c>
      <c r="G41" s="128">
        <f t="shared" si="1"/>
        <v>42.477529470484747</v>
      </c>
    </row>
    <row r="42" spans="1:7" x14ac:dyDescent="0.3">
      <c r="A42" s="121">
        <v>2032</v>
      </c>
      <c r="B42" s="122">
        <f>'Asset Level Worked Examples'!B117</f>
        <v>20.062207736782931</v>
      </c>
      <c r="C42" s="122">
        <f>'Asset Level Worked Examples'!C117</f>
        <v>45.227781818181818</v>
      </c>
      <c r="D42" s="122">
        <f>'Asset Level Worked Examples'!D117</f>
        <v>10.385122919814821</v>
      </c>
      <c r="E42" s="122">
        <f>'Asset Level Worked Examples'!E117</f>
        <v>13.498000000000006</v>
      </c>
      <c r="F42" s="123">
        <f t="shared" si="0"/>
        <v>26.063172266613272</v>
      </c>
      <c r="G42" s="124">
        <f t="shared" si="1"/>
        <v>37.08744065089806</v>
      </c>
    </row>
    <row r="43" spans="1:7" x14ac:dyDescent="0.3">
      <c r="A43" s="125">
        <v>2033</v>
      </c>
      <c r="B43" s="126">
        <f>'Asset Level Worked Examples'!B118</f>
        <v>19.573756806744182</v>
      </c>
      <c r="C43" s="126">
        <f>'Asset Level Worked Examples'!C118</f>
        <v>44.782327272727272</v>
      </c>
      <c r="D43" s="126">
        <f>'Asset Level Worked Examples'!D118</f>
        <v>9.9826866130202383</v>
      </c>
      <c r="E43" s="126">
        <f>'Asset Level Worked Examples'!E118</f>
        <v>13.158000000000007</v>
      </c>
      <c r="F43" s="127">
        <f t="shared" si="0"/>
        <v>25.649143635519017</v>
      </c>
      <c r="G43" s="128">
        <f t="shared" si="1"/>
        <v>32.020867855987838</v>
      </c>
    </row>
    <row r="44" spans="1:7" x14ac:dyDescent="0.3">
      <c r="A44" s="121">
        <v>2034</v>
      </c>
      <c r="B44" s="122">
        <f>'Asset Level Worked Examples'!B119</f>
        <v>19.085305876705423</v>
      </c>
      <c r="C44" s="122">
        <f>'Asset Level Worked Examples'!C119</f>
        <v>44.336872727272727</v>
      </c>
      <c r="D44" s="122">
        <f>'Asset Level Worked Examples'!D119</f>
        <v>9.7378158963185868</v>
      </c>
      <c r="E44" s="122">
        <f>'Asset Level Worked Examples'!E119</f>
        <v>12.81800000000001</v>
      </c>
      <c r="F44" s="123">
        <f t="shared" si="0"/>
        <v>25.268580262497593</v>
      </c>
      <c r="G44" s="124">
        <f t="shared" si="1"/>
        <v>27.264976554229204</v>
      </c>
    </row>
    <row r="45" spans="1:7" x14ac:dyDescent="0.3">
      <c r="A45" s="125">
        <v>2035</v>
      </c>
      <c r="B45" s="126">
        <f>'Asset Level Worked Examples'!B120</f>
        <v>18.596854946666664</v>
      </c>
      <c r="C45" s="126">
        <f>'Asset Level Worked Examples'!C120</f>
        <v>43.891418181818182</v>
      </c>
      <c r="D45" s="126">
        <f>'Asset Level Worked Examples'!D120</f>
        <v>9.4776117793595507</v>
      </c>
      <c r="E45" s="126">
        <f>'Asset Level Worked Examples'!E120</f>
        <v>12.477999999999977</v>
      </c>
      <c r="F45" s="127">
        <f t="shared" si="0"/>
        <v>24.88476023809406</v>
      </c>
      <c r="G45" s="128">
        <f t="shared" si="1"/>
        <v>22.822069854833085</v>
      </c>
    </row>
    <row r="46" spans="1:7" x14ac:dyDescent="0.3">
      <c r="A46" s="121">
        <v>2036</v>
      </c>
      <c r="B46" s="122">
        <f>'Asset Level Worked Examples'!B121</f>
        <v>18.255409290666666</v>
      </c>
      <c r="C46" s="122">
        <f>'Asset Level Worked Examples'!C121</f>
        <v>43.445963636363636</v>
      </c>
      <c r="D46" s="122">
        <f>'Asset Level Worked Examples'!D121</f>
        <v>9.1059345858514966</v>
      </c>
      <c r="E46" s="122">
        <f>'Asset Level Worked Examples'!E121</f>
        <v>12.13799999999998</v>
      </c>
      <c r="F46" s="123">
        <f t="shared" si="0"/>
        <v>24.496778490446331</v>
      </c>
      <c r="G46" s="124">
        <f t="shared" si="1"/>
        <v>18.624452505317169</v>
      </c>
    </row>
    <row r="47" spans="1:7" x14ac:dyDescent="0.3">
      <c r="A47" s="125">
        <v>2037</v>
      </c>
      <c r="B47" s="126">
        <f>'Asset Level Worked Examples'!B122</f>
        <v>17.913963634666665</v>
      </c>
      <c r="C47" s="126">
        <f>'Asset Level Worked Examples'!C122</f>
        <v>43.000509090909091</v>
      </c>
      <c r="D47" s="126">
        <f>'Asset Level Worked Examples'!D122</f>
        <v>8.909229154761988</v>
      </c>
      <c r="E47" s="126">
        <f>'Asset Level Worked Examples'!E122</f>
        <v>11.797999999999982</v>
      </c>
      <c r="F47" s="127">
        <f t="shared" si="0"/>
        <v>24.145958887029092</v>
      </c>
      <c r="G47" s="128">
        <f t="shared" si="1"/>
        <v>14.743864556181515</v>
      </c>
    </row>
    <row r="48" spans="1:7" x14ac:dyDescent="0.3">
      <c r="A48" s="121">
        <v>2038</v>
      </c>
      <c r="B48" s="122">
        <f>'Asset Level Worked Examples'!B123</f>
        <v>17.572517978666664</v>
      </c>
      <c r="C48" s="122">
        <f>'Asset Level Worked Examples'!C123</f>
        <v>42.555054545454546</v>
      </c>
      <c r="D48" s="122">
        <f>'Asset Level Worked Examples'!D123</f>
        <v>8.8725257277489735</v>
      </c>
      <c r="E48" s="122">
        <f>'Asset Level Worked Examples'!E123</f>
        <v>11.457999999999986</v>
      </c>
      <c r="F48" s="123">
        <f t="shared" si="0"/>
        <v>23.829122010141372</v>
      </c>
      <c r="G48" s="124">
        <f t="shared" si="1"/>
        <v>11.435904681354673</v>
      </c>
    </row>
    <row r="49" spans="1:7" x14ac:dyDescent="0.3">
      <c r="A49" s="125">
        <v>2039</v>
      </c>
      <c r="B49" s="126">
        <f>'Asset Level Worked Examples'!B124</f>
        <v>17.231072322666666</v>
      </c>
      <c r="C49" s="126">
        <f>'Asset Level Worked Examples'!C124</f>
        <v>42.1096</v>
      </c>
      <c r="D49" s="126">
        <f>'Asset Level Worked Examples'!D124</f>
        <v>8.7903277925675329</v>
      </c>
      <c r="E49" s="126">
        <f>'Asset Level Worked Examples'!E124</f>
        <v>11.117999999999991</v>
      </c>
      <c r="F49" s="127">
        <f t="shared" si="0"/>
        <v>23.5026225828462</v>
      </c>
      <c r="G49" s="128">
        <f t="shared" si="1"/>
        <v>8.7799388237768294</v>
      </c>
    </row>
    <row r="50" spans="1:7" x14ac:dyDescent="0.3">
      <c r="A50" s="121">
        <v>2040</v>
      </c>
      <c r="B50" s="122">
        <f>'Asset Level Worked Examples'!B125</f>
        <v>16.889626666666665</v>
      </c>
      <c r="C50" s="122">
        <f>'Asset Level Worked Examples'!C125</f>
        <v>41.664145454545455</v>
      </c>
      <c r="D50" s="122">
        <f>'Asset Level Worked Examples'!D125</f>
        <v>8.6529524619016094</v>
      </c>
      <c r="E50" s="122">
        <f>'Asset Level Worked Examples'!E125</f>
        <v>10.777999999999992</v>
      </c>
      <c r="F50" s="123">
        <f t="shared" si="0"/>
        <v>23.164404062704765</v>
      </c>
      <c r="G50" s="124">
        <f t="shared" si="1"/>
        <v>6.6463371820144728</v>
      </c>
    </row>
    <row r="51" spans="1:7" x14ac:dyDescent="0.3">
      <c r="A51" s="125">
        <v>2041</v>
      </c>
      <c r="B51" s="126">
        <f>'Asset Level Worked Examples'!B126</f>
        <v>16.889626666666665</v>
      </c>
      <c r="C51" s="126">
        <f>'Asset Level Worked Examples'!C126</f>
        <v>41.21869090909091</v>
      </c>
      <c r="D51" s="126">
        <f>'Asset Level Worked Examples'!D126</f>
        <v>8.4276221409701115</v>
      </c>
      <c r="E51" s="126">
        <f>'Asset Level Worked Examples'!E126</f>
        <v>10.437999999999995</v>
      </c>
      <c r="F51" s="127">
        <f t="shared" si="0"/>
        <v>22.852829481267985</v>
      </c>
      <c r="G51" s="128">
        <f t="shared" si="1"/>
        <v>5.4634338425336653</v>
      </c>
    </row>
    <row r="52" spans="1:7" x14ac:dyDescent="0.3">
      <c r="A52" s="121">
        <v>2042</v>
      </c>
      <c r="B52" s="122">
        <f>'Asset Level Worked Examples'!B127</f>
        <v>16.889626666666665</v>
      </c>
      <c r="C52" s="122">
        <f>'Asset Level Worked Examples'!C127</f>
        <v>40.773236363636364</v>
      </c>
      <c r="D52" s="122">
        <f>'Asset Level Worked Examples'!D127</f>
        <v>8.3714765365294959</v>
      </c>
      <c r="E52" s="122">
        <f>'Asset Level Worked Examples'!E127</f>
        <v>10.098000000000001</v>
      </c>
      <c r="F52" s="123">
        <f t="shared" si="0"/>
        <v>22.577187936962016</v>
      </c>
      <c r="G52" s="124">
        <f t="shared" si="1"/>
        <v>4.5694369558140986</v>
      </c>
    </row>
    <row r="53" spans="1:7" x14ac:dyDescent="0.3">
      <c r="A53" s="125">
        <v>2043</v>
      </c>
      <c r="B53" s="126">
        <f>'Asset Level Worked Examples'!B128</f>
        <v>16.889626666666665</v>
      </c>
      <c r="C53" s="126">
        <f>'Asset Level Worked Examples'!C128</f>
        <v>40.327781818181819</v>
      </c>
      <c r="D53" s="126">
        <f>'Asset Level Worked Examples'!D128</f>
        <v>8.3501396223350213</v>
      </c>
      <c r="E53" s="126">
        <f>'Asset Level Worked Examples'!E128</f>
        <v>9.7579999999999654</v>
      </c>
      <c r="F53" s="127">
        <f t="shared" si="0"/>
        <v>22.308939388814505</v>
      </c>
      <c r="G53" s="128">
        <f t="shared" si="1"/>
        <v>3.7840553557373098</v>
      </c>
    </row>
    <row r="54" spans="1:7" x14ac:dyDescent="0.3">
      <c r="A54" s="121">
        <v>2044</v>
      </c>
      <c r="B54" s="122">
        <f>'Asset Level Worked Examples'!B129</f>
        <v>16.889626666666665</v>
      </c>
      <c r="C54" s="122">
        <f>'Asset Level Worked Examples'!C129</f>
        <v>39.882327272727274</v>
      </c>
      <c r="D54" s="122">
        <f>'Asset Level Worked Examples'!D129</f>
        <v>8.2886117231376613</v>
      </c>
      <c r="E54" s="122">
        <f>'Asset Level Worked Examples'!E129</f>
        <v>9.4179999999999691</v>
      </c>
      <c r="F54" s="123">
        <f t="shared" si="0"/>
        <v>22.032154702259319</v>
      </c>
      <c r="G54" s="124">
        <f t="shared" si="1"/>
        <v>3.1003224027374374</v>
      </c>
    </row>
    <row r="55" spans="1:7" x14ac:dyDescent="0.3">
      <c r="A55" s="125">
        <v>2045</v>
      </c>
      <c r="B55" s="126">
        <f>'Asset Level Worked Examples'!B130</f>
        <v>16.889626666666665</v>
      </c>
      <c r="C55" s="126">
        <f>'Asset Level Worked Examples'!C130</f>
        <v>39.436872727272728</v>
      </c>
      <c r="D55" s="126">
        <f>'Asset Level Worked Examples'!D130</f>
        <v>8.1435409181472114</v>
      </c>
      <c r="E55" s="126">
        <f>'Asset Level Worked Examples'!E130</f>
        <v>9.0779999999999728</v>
      </c>
      <c r="F55" s="127">
        <f t="shared" si="0"/>
        <v>21.737626389694977</v>
      </c>
      <c r="G55" s="128">
        <f t="shared" si="1"/>
        <v>2.4601194499271033</v>
      </c>
    </row>
    <row r="56" spans="1:7" x14ac:dyDescent="0.3">
      <c r="A56" s="121">
        <v>2046</v>
      </c>
      <c r="B56" s="122">
        <f>'Asset Level Worked Examples'!B131</f>
        <v>16.889626666666665</v>
      </c>
      <c r="C56" s="122">
        <f>'Asset Level Worked Examples'!C131</f>
        <v>38.991418181818183</v>
      </c>
      <c r="D56" s="122">
        <f>'Asset Level Worked Examples'!D131</f>
        <v>8.0682953288570545</v>
      </c>
      <c r="E56" s="122">
        <f>'Asset Level Worked Examples'!E131</f>
        <v>8.7379999999999765</v>
      </c>
      <c r="F56" s="123">
        <f t="shared" si="0"/>
        <v>21.457928211438659</v>
      </c>
      <c r="G56" s="124">
        <f t="shared" si="1"/>
        <v>1.9998045585981374</v>
      </c>
    </row>
    <row r="57" spans="1:7" x14ac:dyDescent="0.3">
      <c r="A57" s="125">
        <v>2047</v>
      </c>
      <c r="B57" s="126">
        <f>'Asset Level Worked Examples'!B132</f>
        <v>16.889626666666665</v>
      </c>
      <c r="C57" s="126">
        <f>'Asset Level Worked Examples'!C132</f>
        <v>38.545963636363638</v>
      </c>
      <c r="D57" s="126">
        <f>'Asset Level Worked Examples'!D132</f>
        <v>8.0104586611522581</v>
      </c>
      <c r="E57" s="126">
        <f>'Asset Level Worked Examples'!E132</f>
        <v>8.3979999999999801</v>
      </c>
      <c r="F57" s="127">
        <f t="shared" si="0"/>
        <v>21.181927503253576</v>
      </c>
      <c r="G57" s="128">
        <f t="shared" si="1"/>
        <v>1.5576394559817799</v>
      </c>
    </row>
    <row r="58" spans="1:7" x14ac:dyDescent="0.3">
      <c r="A58" s="121">
        <v>2048</v>
      </c>
      <c r="B58" s="122">
        <f>'Asset Level Worked Examples'!B133</f>
        <v>16.889626666666665</v>
      </c>
      <c r="C58" s="122">
        <f>'Asset Level Worked Examples'!C133</f>
        <v>38.100509090909085</v>
      </c>
      <c r="D58" s="122">
        <f>'Asset Level Worked Examples'!D133</f>
        <v>7.9756427524628926</v>
      </c>
      <c r="E58" s="122">
        <f>'Asset Level Worked Examples'!E133</f>
        <v>8.0579999999999465</v>
      </c>
      <c r="F58" s="123">
        <f t="shared" si="0"/>
        <v>20.910816159815109</v>
      </c>
      <c r="G58" s="124">
        <f t="shared" si="1"/>
        <v>1.1660826825323387</v>
      </c>
    </row>
    <row r="59" spans="1:7" x14ac:dyDescent="0.3">
      <c r="A59" s="125">
        <v>2049</v>
      </c>
      <c r="B59" s="126">
        <f>'Asset Level Worked Examples'!B134</f>
        <v>16.889626666666665</v>
      </c>
      <c r="C59" s="126">
        <f>'Asset Level Worked Examples'!C134</f>
        <v>37.65505454545454</v>
      </c>
      <c r="D59" s="126">
        <f>'Asset Level Worked Examples'!D134</f>
        <v>7.9305469833642928</v>
      </c>
      <c r="E59" s="126">
        <f>'Asset Level Worked Examples'!E134</f>
        <v>7.7179999999999493</v>
      </c>
      <c r="F59" s="127">
        <f t="shared" si="0"/>
        <v>20.637521483192401</v>
      </c>
      <c r="G59" s="128">
        <f t="shared" si="1"/>
        <v>0.8058225155950911</v>
      </c>
    </row>
    <row r="60" spans="1:7" x14ac:dyDescent="0.3">
      <c r="A60" s="121">
        <v>2050</v>
      </c>
      <c r="B60" s="122">
        <f>'Asset Level Worked Examples'!B135</f>
        <v>16.889626666666665</v>
      </c>
      <c r="C60" s="122">
        <f>'Asset Level Worked Examples'!C135</f>
        <v>37.209599999999995</v>
      </c>
      <c r="D60" s="122">
        <f>'Asset Level Worked Examples'!D135</f>
        <v>7.9201748807218788</v>
      </c>
      <c r="E60" s="122">
        <f>'Asset Level Worked Examples'!E135</f>
        <v>7.3779999999999513</v>
      </c>
      <c r="F60" s="123">
        <f t="shared" si="0"/>
        <v>20.371601744578083</v>
      </c>
      <c r="G60" s="124">
        <f t="shared" si="1"/>
        <v>0.46177977642419066</v>
      </c>
    </row>
    <row r="61" spans="1:7" ht="40.049999999999997" customHeight="1" x14ac:dyDescent="0.3">
      <c r="A61" s="167" t="s">
        <v>313</v>
      </c>
      <c r="B61" s="167"/>
      <c r="C61" s="167"/>
      <c r="D61" s="167"/>
      <c r="E61" s="167"/>
      <c r="F61" s="167"/>
      <c r="G61" s="167"/>
    </row>
    <row r="64" spans="1:7" x14ac:dyDescent="0.3">
      <c r="A64" s="159" t="s">
        <v>188</v>
      </c>
      <c r="B64" s="159"/>
      <c r="C64" s="159"/>
      <c r="D64" s="159"/>
      <c r="E64" s="159"/>
      <c r="F64" s="159"/>
      <c r="G64" s="159"/>
    </row>
    <row r="65" spans="1:7" x14ac:dyDescent="0.3">
      <c r="A65" s="160" t="s">
        <v>197</v>
      </c>
      <c r="B65" s="160"/>
      <c r="C65" s="160"/>
      <c r="D65" s="160"/>
      <c r="E65" s="160"/>
      <c r="F65" s="160"/>
      <c r="G65" s="160"/>
    </row>
    <row r="66" spans="1:7" x14ac:dyDescent="0.3">
      <c r="A66" s="157" t="s">
        <v>189</v>
      </c>
      <c r="B66" s="157"/>
      <c r="C66" s="157"/>
      <c r="D66" s="157"/>
      <c r="E66" s="157"/>
      <c r="F66" s="157"/>
      <c r="G66" s="157"/>
    </row>
    <row r="67" spans="1:7" x14ac:dyDescent="0.3">
      <c r="A67" s="15" t="s">
        <v>74</v>
      </c>
      <c r="B67" s="15" t="s">
        <v>233</v>
      </c>
      <c r="C67" s="15" t="s">
        <v>160</v>
      </c>
      <c r="D67" s="15" t="s">
        <v>234</v>
      </c>
      <c r="E67" s="15" t="s">
        <v>235</v>
      </c>
      <c r="F67" s="15" t="s">
        <v>236</v>
      </c>
      <c r="G67" s="40" t="s">
        <v>237</v>
      </c>
    </row>
    <row r="68" spans="1:7" x14ac:dyDescent="0.3">
      <c r="A68" s="55">
        <v>2020</v>
      </c>
      <c r="B68" s="57">
        <f>C$23*'Example Input'!H15+D$23*'Example Input'!H16+E$23*(0.65*'Example Input'!H17+0.35*'Example Input'!H18)+F$23*'Example Input'!H19</f>
        <v>126.60196170992177</v>
      </c>
      <c r="C68" s="57">
        <f>C$23*'Example Input'!H25+D$23*'Example Input'!H26+E$23*(0.65*'Example Input'!H27+0.35*'Example Input'!H28)+F$23*'Example Input'!H29</f>
        <v>281.65845179912259</v>
      </c>
      <c r="D68" s="59">
        <f>'Example Input'!H15</f>
        <v>49.0941329483489</v>
      </c>
      <c r="E68" s="59">
        <f>'Example Input'!H16</f>
        <v>248.2787232</v>
      </c>
      <c r="F68" s="59">
        <f>0.65*'Example Input'!H17+0.35*'Example Input'!H18</f>
        <v>51.214001588818832</v>
      </c>
      <c r="G68" s="60">
        <f>'Example Input'!H19</f>
        <v>47.206994002142501</v>
      </c>
    </row>
    <row r="69" spans="1:7" x14ac:dyDescent="0.3">
      <c r="A69" s="56">
        <v>2021</v>
      </c>
      <c r="B69" s="58">
        <f>C$23*'Example Input'!I15+D$23*'Example Input'!I16+E$23*(0.65*'Example Input'!I17+0.35*'Example Input'!I18)+F$23*'Example Input'!I19</f>
        <v>118.34963190675958</v>
      </c>
      <c r="C69" s="58">
        <f>C$23*'Example Input'!I25+D$23*'Example Input'!I26+E$23*(0.65*'Example Input'!I27+0.35*'Example Input'!I28)+F$23*'Example Input'!I29</f>
        <v>263.76062883064344</v>
      </c>
      <c r="D69" s="61">
        <f>'Example Input'!I15</f>
        <v>45.993043698002502</v>
      </c>
      <c r="E69" s="61">
        <f>'Example Input'!I16</f>
        <v>231.81012244335301</v>
      </c>
      <c r="F69" s="61">
        <f>0.65*'Example Input'!I17+0.35*'Example Input'!I18</f>
        <v>48.310749822732504</v>
      </c>
      <c r="G69" s="62">
        <f>'Example Input'!I19</f>
        <v>44.1503122246895</v>
      </c>
    </row>
    <row r="70" spans="1:7" x14ac:dyDescent="0.3">
      <c r="A70" s="55">
        <v>2022</v>
      </c>
      <c r="B70" s="57">
        <f>C$23*'Example Input'!J15+D$23*'Example Input'!J16+E$23*(0.65*'Example Input'!J17+0.35*'Example Input'!J18)+F$23*'Example Input'!J19</f>
        <v>109.14211297715084</v>
      </c>
      <c r="C70" s="57">
        <f>C$23*'Example Input'!J25+D$23*'Example Input'!J26+E$23*(0.65*'Example Input'!J27+0.35*'Example Input'!J28)+F$23*'Example Input'!J29</f>
        <v>247.04014710358229</v>
      </c>
      <c r="D70" s="59">
        <f>'Example Input'!J15</f>
        <v>42.137470217381797</v>
      </c>
      <c r="E70" s="59">
        <f>'Example Input'!J16</f>
        <v>213.807977602769</v>
      </c>
      <c r="F70" s="59">
        <f>0.65*'Example Input'!J17+0.35*'Example Input'!J18</f>
        <v>44.793966077210591</v>
      </c>
      <c r="G70" s="60">
        <f>'Example Input'!J19</f>
        <v>40.613017092747597</v>
      </c>
    </row>
    <row r="71" spans="1:7" x14ac:dyDescent="0.3">
      <c r="A71" s="56">
        <v>2023</v>
      </c>
      <c r="B71" s="58">
        <f>C$23*'Example Input'!K15+D$23*'Example Input'!K16+E$23*(0.65*'Example Input'!K17+0.35*'Example Input'!K18)+F$23*'Example Input'!K19</f>
        <v>100.24050129821201</v>
      </c>
      <c r="C71" s="58">
        <f>C$23*'Example Input'!K25+D$23*'Example Input'!K26+E$23*(0.65*'Example Input'!K27+0.35*'Example Input'!K28)+F$23*'Example Input'!K29</f>
        <v>231.41627387619712</v>
      </c>
      <c r="D71" s="61">
        <f>'Example Input'!K15</f>
        <v>38.497759254368098</v>
      </c>
      <c r="E71" s="61">
        <f>'Example Input'!K16</f>
        <v>196.38483029262699</v>
      </c>
      <c r="F71" s="61">
        <f>0.65*'Example Input'!K17+0.35*'Example Input'!K18</f>
        <v>41.359091777782155</v>
      </c>
      <c r="G71" s="62">
        <f>'Example Input'!K19</f>
        <v>37.205317411335898</v>
      </c>
    </row>
    <row r="72" spans="1:7" x14ac:dyDescent="0.3">
      <c r="A72" s="65">
        <v>2024</v>
      </c>
      <c r="B72" s="66">
        <f>C$23*'Example Input'!L15+D$23*'Example Input'!L16+E$23*(0.65*'Example Input'!L17+0.35*'Example Input'!L18)+F$23*'Example Input'!L19</f>
        <v>91.681042378305449</v>
      </c>
      <c r="C72" s="66">
        <f>C$23*'Example Input'!L25+D$23*'Example Input'!L26+E$23*(0.65*'Example Input'!L27+0.35*'Example Input'!L28)+F$23*'Example Input'!L29</f>
        <v>216.81407873512666</v>
      </c>
      <c r="D72" s="63">
        <f>'Example Input'!L15</f>
        <v>35.0558155493813</v>
      </c>
      <c r="E72" s="63">
        <f>'Example Input'!L16</f>
        <v>179.61984038261701</v>
      </c>
      <c r="F72" s="63">
        <f>0.65*'Example Input'!L17+0.35*'Example Input'!L18</f>
        <v>38.025824933278649</v>
      </c>
      <c r="G72" s="64">
        <f>'Example Input'!L19</f>
        <v>33.940926009131999</v>
      </c>
    </row>
    <row r="73" spans="1:7" x14ac:dyDescent="0.3">
      <c r="A73" s="56">
        <v>2025</v>
      </c>
      <c r="B73" s="58">
        <f>C$23*'Example Input'!M15+D$23*'Example Input'!M16+E$23*(0.65*'Example Input'!M17+0.35*'Example Input'!M18)+F$23*'Example Input'!M19</f>
        <v>83.79532685107975</v>
      </c>
      <c r="C73" s="58">
        <f>C$23*'Example Input'!M25+D$23*'Example Input'!M26+E$23*(0.65*'Example Input'!M27+0.35*'Example Input'!M28)+F$23*'Example Input'!M29</f>
        <v>203.16399556027588</v>
      </c>
      <c r="D73" s="61">
        <f>'Example Input'!M15</f>
        <v>31.853126686934999</v>
      </c>
      <c r="E73" s="61">
        <f>'Example Input'!M16</f>
        <v>164.18629574203899</v>
      </c>
      <c r="F73" s="61">
        <f>0.65*'Example Input'!M17+0.35*'Example Input'!M18</f>
        <v>34.938379568086731</v>
      </c>
      <c r="G73" s="62">
        <f>'Example Input'!M19</f>
        <v>30.945230386139698</v>
      </c>
    </row>
    <row r="74" spans="1:7" x14ac:dyDescent="0.3">
      <c r="A74" s="55">
        <v>2026</v>
      </c>
      <c r="B74" s="57">
        <f>C$23*'Example Input'!N15+D$23*'Example Input'!N16+E$23*(0.65*'Example Input'!N17+0.35*'Example Input'!N18)+F$23*'Example Input'!N19</f>
        <v>75.65346300824433</v>
      </c>
      <c r="C74" s="57">
        <f>C$23*'Example Input'!N25+D$23*'Example Input'!N26+E$23*(0.65*'Example Input'!N27+0.35*'Example Input'!N28)+F$23*'Example Input'!N29</f>
        <v>190.40141915700227</v>
      </c>
      <c r="D74" s="59">
        <f>'Example Input'!N15</f>
        <v>28.595370933715301</v>
      </c>
      <c r="E74" s="59">
        <f>'Example Input'!N16</f>
        <v>148.242957399739</v>
      </c>
      <c r="F74" s="59">
        <f>0.65*'Example Input'!N17+0.35*'Example Input'!N18</f>
        <v>31.712922728184651</v>
      </c>
      <c r="G74" s="60">
        <f>'Example Input'!N19</f>
        <v>27.870349495364401</v>
      </c>
    </row>
    <row r="75" spans="1:7" x14ac:dyDescent="0.3">
      <c r="A75" s="56">
        <v>2027</v>
      </c>
      <c r="B75" s="58">
        <f>C$23*'Example Input'!O15+D$23*'Example Input'!O16+E$23*(0.65*'Example Input'!O17+0.35*'Example Input'!O18)+F$23*'Example Input'!O19</f>
        <v>68.21354883310164</v>
      </c>
      <c r="C75" s="58">
        <f>C$23*'Example Input'!O25+D$23*'Example Input'!O26+E$23*(0.65*'Example Input'!O27+0.35*'Example Input'!O28)+F$23*'Example Input'!O29</f>
        <v>178.46633369531392</v>
      </c>
      <c r="D75" s="61">
        <f>'Example Input'!O15</f>
        <v>25.640215832228701</v>
      </c>
      <c r="E75" s="61">
        <f>'Example Input'!O16</f>
        <v>133.67050003878799</v>
      </c>
      <c r="F75" s="61">
        <f>0.65*'Example Input'!O17+0.35*'Example Input'!O18</f>
        <v>28.748385088285211</v>
      </c>
      <c r="G75" s="62">
        <f>'Example Input'!O19</f>
        <v>25.068817894384601</v>
      </c>
    </row>
    <row r="76" spans="1:7" x14ac:dyDescent="0.3">
      <c r="A76" s="55">
        <v>2028</v>
      </c>
      <c r="B76" s="57">
        <f>C$23*'Example Input'!P15+D$23*'Example Input'!P16+E$23*(0.65*'Example Input'!P17+0.35*'Example Input'!P18)+F$23*'Example Input'!P19</f>
        <v>61.159783625335805</v>
      </c>
      <c r="C76" s="57">
        <f>C$23*'Example Input'!P25+D$23*'Example Input'!P26+E$23*(0.65*'Example Input'!P27+0.35*'Example Input'!P28)+F$23*'Example Input'!P29</f>
        <v>167.30297033996277</v>
      </c>
      <c r="D76" s="59">
        <f>'Example Input'!P15</f>
        <v>22.865516264331301</v>
      </c>
      <c r="E76" s="59">
        <f>'Example Input'!P16</f>
        <v>119.84965560420601</v>
      </c>
      <c r="F76" s="59">
        <f>0.65*'Example Input'!P17+0.35*'Example Input'!P18</f>
        <v>25.916924408541568</v>
      </c>
      <c r="G76" s="60">
        <f>'Example Input'!P19</f>
        <v>22.422725776930498</v>
      </c>
    </row>
    <row r="77" spans="1:7" x14ac:dyDescent="0.3">
      <c r="A77" s="56">
        <v>2029</v>
      </c>
      <c r="B77" s="58">
        <f>C$23*'Example Input'!Q15+D$23*'Example Input'!Q16+E$23*(0.65*'Example Input'!Q17+0.35*'Example Input'!Q18)+F$23*'Example Input'!Q19</f>
        <v>54.49026950653483</v>
      </c>
      <c r="C77" s="58">
        <f>C$23*'Example Input'!Q25+D$23*'Example Input'!Q26+E$23*(0.65*'Example Input'!Q27+0.35*'Example Input'!Q28)+F$23*'Example Input'!Q29</f>
        <v>156.85949167804375</v>
      </c>
      <c r="D77" s="61">
        <f>'Example Input'!Q15</f>
        <v>20.267411146728001</v>
      </c>
      <c r="E77" s="61">
        <f>'Example Input'!Q16</f>
        <v>106.777135233121</v>
      </c>
      <c r="F77" s="61">
        <f>0.65*'Example Input'!Q17+0.35*'Example Input'!Q18</f>
        <v>23.220488902146229</v>
      </c>
      <c r="G77" s="62">
        <f>'Example Input'!Q19</f>
        <v>19.930120104289401</v>
      </c>
    </row>
    <row r="78" spans="1:7" x14ac:dyDescent="0.3">
      <c r="A78" s="55">
        <v>2030</v>
      </c>
      <c r="B78" s="57">
        <f>C$23*'Example Input'!R15+D$23*'Example Input'!R16+E$23*(0.65*'Example Input'!R17+0.35*'Example Input'!R18)+F$23*'Example Input'!R19</f>
        <v>47.984062699366518</v>
      </c>
      <c r="C78" s="57">
        <f>C$23*'Example Input'!R25+D$23*'Example Input'!R26+E$23*(0.65*'Example Input'!R27+0.35*'Example Input'!R28)+F$23*'Example Input'!R29</f>
        <v>147.0877007540235</v>
      </c>
      <c r="D78" s="59">
        <f>'Example Input'!R15</f>
        <v>17.762281721307801</v>
      </c>
      <c r="E78" s="59">
        <f>'Example Input'!R16</f>
        <v>94.019118549431496</v>
      </c>
      <c r="F78" s="59">
        <f>0.65*'Example Input'!R17+0.35*'Example Input'!R18</f>
        <v>20.568753915699961</v>
      </c>
      <c r="G78" s="60">
        <f>'Example Input'!R19</f>
        <v>17.5091183019005</v>
      </c>
    </row>
    <row r="79" spans="1:7" x14ac:dyDescent="0.3">
      <c r="A79" s="56">
        <v>2031</v>
      </c>
      <c r="B79" s="58">
        <f>C$23*'Example Input'!S15+D$23*'Example Input'!S16+E$23*(0.65*'Example Input'!S17+0.35*'Example Input'!S18)+F$23*'Example Input'!S19</f>
        <v>42.477529470484747</v>
      </c>
      <c r="C79" s="58">
        <f>C$23*'Example Input'!S25+D$23*'Example Input'!S26+E$23*(0.65*'Example Input'!S27+0.35*'Example Input'!S28)+F$23*'Example Input'!S29</f>
        <v>137.94277270762856</v>
      </c>
      <c r="D79" s="61">
        <f>'Example Input'!S15</f>
        <v>15.6513014409283</v>
      </c>
      <c r="E79" s="61">
        <f>'Example Input'!S16</f>
        <v>83.219641630010798</v>
      </c>
      <c r="F79" s="61">
        <f>0.65*'Example Input'!S17+0.35*'Example Input'!S18</f>
        <v>18.317420848754956</v>
      </c>
      <c r="G79" s="62">
        <f>'Example Input'!S19</f>
        <v>15.463632548675299</v>
      </c>
    </row>
    <row r="80" spans="1:7" x14ac:dyDescent="0.3">
      <c r="A80" s="55">
        <v>2032</v>
      </c>
      <c r="B80" s="57">
        <f>C$23*'Example Input'!T15+D$23*'Example Input'!T16+E$23*(0.65*'Example Input'!T17+0.35*'Example Input'!T18)+F$23*'Example Input'!T19</f>
        <v>37.08744065089806</v>
      </c>
      <c r="C80" s="57">
        <f>C$23*'Example Input'!T25+D$23*'Example Input'!T26+E$23*(0.65*'Example Input'!T27+0.35*'Example Input'!T28)+F$23*'Example Input'!T29</f>
        <v>129.38300717942136</v>
      </c>
      <c r="D80" s="59">
        <f>'Example Input'!T15</f>
        <v>13.6094723493916</v>
      </c>
      <c r="E80" s="59">
        <f>'Example Input'!T16</f>
        <v>72.643530895160296</v>
      </c>
      <c r="F80" s="59">
        <f>0.65*'Example Input'!T17+0.35*'Example Input'!T18</f>
        <v>16.096736225991798</v>
      </c>
      <c r="G80" s="60">
        <f>'Example Input'!T19</f>
        <v>13.470055983325</v>
      </c>
    </row>
    <row r="81" spans="1:7" x14ac:dyDescent="0.3">
      <c r="A81" s="56">
        <v>2033</v>
      </c>
      <c r="B81" s="58">
        <f>C$23*'Example Input'!U15+D$23*'Example Input'!U16+E$23*(0.65*'Example Input'!U17+0.35*'Example Input'!U18)+F$23*'Example Input'!U19</f>
        <v>32.020867855987838</v>
      </c>
      <c r="C81" s="58">
        <f>C$23*'Example Input'!U25+D$23*'Example Input'!U26+E$23*(0.65*'Example Input'!U27+0.35*'Example Input'!U28)+F$23*'Example Input'!U29</f>
        <v>121.36959980352319</v>
      </c>
      <c r="D81" s="61">
        <f>'Example Input'!U15</f>
        <v>11.7096790842362</v>
      </c>
      <c r="E81" s="61">
        <f>'Example Input'!U16</f>
        <v>62.698143614051901</v>
      </c>
      <c r="F81" s="61">
        <f>0.65*'Example Input'!U17+0.35*'Example Input'!U18</f>
        <v>13.996032289551945</v>
      </c>
      <c r="G81" s="62">
        <f>'Example Input'!U19</f>
        <v>11.602992916518399</v>
      </c>
    </row>
    <row r="82" spans="1:7" x14ac:dyDescent="0.3">
      <c r="A82" s="55">
        <v>2034</v>
      </c>
      <c r="B82" s="57">
        <f>C$23*'Example Input'!V15+D$23*'Example Input'!V16+E$23*(0.65*'Example Input'!V17+0.35*'Example Input'!V18)+F$23*'Example Input'!V19</f>
        <v>27.264976554229204</v>
      </c>
      <c r="C82" s="57">
        <f>C$23*'Example Input'!V25+D$23*'Example Input'!V26+E$23*(0.65*'Example Input'!V27+0.35*'Example Input'!V28)+F$23*'Example Input'!V29</f>
        <v>113.86643124818845</v>
      </c>
      <c r="D82" s="59">
        <f>'Example Input'!V15</f>
        <v>9.9448409536417692</v>
      </c>
      <c r="E82" s="59">
        <f>'Example Input'!V16</f>
        <v>53.358642270166399</v>
      </c>
      <c r="F82" s="59">
        <f>0.65*'Example Input'!V17+0.35*'Example Input'!V18</f>
        <v>12.011841279563662</v>
      </c>
      <c r="G82" s="60">
        <f>'Example Input'!V19</f>
        <v>9.8568428575474591</v>
      </c>
    </row>
    <row r="83" spans="1:7" x14ac:dyDescent="0.3">
      <c r="A83" s="56">
        <v>2035</v>
      </c>
      <c r="B83" s="58">
        <f>C$23*'Example Input'!W15+D$23*'Example Input'!W16+E$23*(0.65*'Example Input'!W17+0.35*'Example Input'!W18)+F$23*'Example Input'!W19</f>
        <v>22.822069854833085</v>
      </c>
      <c r="C83" s="58">
        <f>C$23*'Example Input'!W25+D$23*'Example Input'!W26+E$23*(0.65*'Example Input'!W27+0.35*'Example Input'!W28)+F$23*'Example Input'!W29</f>
        <v>107.70396701019975</v>
      </c>
      <c r="D83" s="61">
        <f>'Example Input'!W15</f>
        <v>8.3133526360118797</v>
      </c>
      <c r="E83" s="61">
        <f>'Example Input'!W16</f>
        <v>44.629923133366503</v>
      </c>
      <c r="F83" s="61">
        <f>0.65*'Example Input'!W17+0.35*'Example Input'!W18</f>
        <v>10.147134010205628</v>
      </c>
      <c r="G83" s="62">
        <f>'Example Input'!W19</f>
        <v>8.2315256647633106</v>
      </c>
    </row>
    <row r="84" spans="1:7" x14ac:dyDescent="0.3">
      <c r="A84" s="55">
        <v>2036</v>
      </c>
      <c r="B84" s="57">
        <f>C$23*'Example Input'!X15+D$23*'Example Input'!X16+E$23*(0.65*'Example Input'!X17+0.35*'Example Input'!X18)+F$23*'Example Input'!X19</f>
        <v>18.624452505317169</v>
      </c>
      <c r="C84" s="57">
        <f>C$23*'Example Input'!X25+D$23*'Example Input'!X26+E$23*(0.65*'Example Input'!X27+0.35*'Example Input'!X28)+F$23*'Example Input'!X29</f>
        <v>101.90643880431666</v>
      </c>
      <c r="D84" s="59">
        <f>'Example Input'!X15</f>
        <v>6.7891175854435799</v>
      </c>
      <c r="E84" s="59">
        <f>'Example Input'!X16</f>
        <v>36.379071548419503</v>
      </c>
      <c r="F84" s="59">
        <f>0.65*'Example Input'!X17+0.35*'Example Input'!X18</f>
        <v>8.3747686594990931</v>
      </c>
      <c r="G84" s="60">
        <f>'Example Input'!X19</f>
        <v>6.7017591120250097</v>
      </c>
    </row>
    <row r="85" spans="1:7" x14ac:dyDescent="0.3">
      <c r="A85" s="56">
        <v>2037</v>
      </c>
      <c r="B85" s="58">
        <f>C$23*'Example Input'!Y15+D$23*'Example Input'!Y16+E$23*(0.65*'Example Input'!Y17+0.35*'Example Input'!Y18)+F$23*'Example Input'!Y19</f>
        <v>14.743864556181515</v>
      </c>
      <c r="C85" s="58">
        <f>C$23*'Example Input'!Y25+D$23*'Example Input'!Y26+E$23*(0.65*'Example Input'!Y27+0.35*'Example Input'!Y28)+F$23*'Example Input'!Y29</f>
        <v>97.597276780664956</v>
      </c>
      <c r="D85" s="61">
        <f>'Example Input'!Y15</f>
        <v>5.3951839808195396</v>
      </c>
      <c r="E85" s="61">
        <f>'Example Input'!Y16</f>
        <v>28.7477390504</v>
      </c>
      <c r="F85" s="61">
        <f>0.65*'Example Input'!Y17+0.35*'Example Input'!Y18</f>
        <v>6.7270633759059804</v>
      </c>
      <c r="G85" s="62">
        <f>'Example Input'!Y19</f>
        <v>5.2926298632291502</v>
      </c>
    </row>
    <row r="86" spans="1:7" x14ac:dyDescent="0.3">
      <c r="A86" s="55">
        <v>2038</v>
      </c>
      <c r="B86" s="57">
        <f>C$23*'Example Input'!Z15+D$23*'Example Input'!Z16+E$23*(0.65*'Example Input'!Z17+0.35*'Example Input'!Z18)+F$23*'Example Input'!Z19</f>
        <v>11.435904681354673</v>
      </c>
      <c r="C86" s="57">
        <f>C$23*'Example Input'!Z25+D$23*'Example Input'!Z26+E$23*(0.65*'Example Input'!Z27+0.35*'Example Input'!Z28)+F$23*'Example Input'!Z29</f>
        <v>93.544980740268286</v>
      </c>
      <c r="D86" s="59">
        <f>'Example Input'!Z15</f>
        <v>4.2173862752550999</v>
      </c>
      <c r="E86" s="59">
        <f>'Example Input'!Z16</f>
        <v>22.239855168218501</v>
      </c>
      <c r="F86" s="59">
        <f>0.65*'Example Input'!Z17+0.35*'Example Input'!Z18</f>
        <v>5.3164279823187872</v>
      </c>
      <c r="G86" s="60">
        <f>'Example Input'!Z19</f>
        <v>4.0949511962328904</v>
      </c>
    </row>
    <row r="87" spans="1:7" x14ac:dyDescent="0.3">
      <c r="A87" s="56">
        <v>2039</v>
      </c>
      <c r="B87" s="58">
        <f>C$23*'Example Input'!AA15+D$23*'Example Input'!AA16+E$23*(0.65*'Example Input'!AA17+0.35*'Example Input'!AA18)+F$23*'Example Input'!AA19</f>
        <v>8.7799388237768294</v>
      </c>
      <c r="C87" s="58">
        <f>C$23*'Example Input'!AA25+D$23*'Example Input'!AA26+E$23*(0.65*'Example Input'!AA27+0.35*'Example Input'!AA28)+F$23*'Example Input'!AA29</f>
        <v>89.734166339397447</v>
      </c>
      <c r="D87" s="61">
        <f>'Example Input'!AA15</f>
        <v>3.2787744436109398</v>
      </c>
      <c r="E87" s="61">
        <f>'Example Input'!AA16</f>
        <v>17.012765579177501</v>
      </c>
      <c r="F87" s="61">
        <f>0.65*'Example Input'!AA17+0.35*'Example Input'!AA18</f>
        <v>4.1799192098033968</v>
      </c>
      <c r="G87" s="62">
        <f>'Example Input'!AA19</f>
        <v>3.1357241304508698</v>
      </c>
    </row>
    <row r="88" spans="1:7" x14ac:dyDescent="0.3">
      <c r="A88" s="55">
        <v>2040</v>
      </c>
      <c r="B88" s="57">
        <f>C$23*'Example Input'!AB15+D$23*'Example Input'!AB16+E$23*(0.65*'Example Input'!AB17+0.35*'Example Input'!AB18)+F$23*'Example Input'!AB19</f>
        <v>6.6463371820144728</v>
      </c>
      <c r="C88" s="57">
        <f>C$23*'Example Input'!AB25+D$23*'Example Input'!AB26+E$23*(0.65*'Example Input'!AB27+0.35*'Example Input'!AB28)+F$23*'Example Input'!AB29</f>
        <v>86.150374249718013</v>
      </c>
      <c r="D88" s="59">
        <f>'Example Input'!AB15</f>
        <v>2.53053131344361</v>
      </c>
      <c r="E88" s="59">
        <f>'Example Input'!AB16</f>
        <v>12.8120473756436</v>
      </c>
      <c r="F88" s="59">
        <f>0.65*'Example Input'!AB17+0.35*'Example Input'!AB18</f>
        <v>3.263964671392491</v>
      </c>
      <c r="G88" s="60">
        <f>'Example Input'!AB19</f>
        <v>2.3670965074747699</v>
      </c>
    </row>
    <row r="89" spans="1:7" x14ac:dyDescent="0.3">
      <c r="A89" s="56">
        <v>2041</v>
      </c>
      <c r="B89" s="58">
        <f>C$23*'Example Input'!AC15+D$23*'Example Input'!AC16+E$23*(0.65*'Example Input'!AC17+0.35*'Example Input'!AC18)+F$23*'Example Input'!AC19</f>
        <v>5.4634338425336653</v>
      </c>
      <c r="C89" s="58">
        <f>C$23*'Example Input'!AC25+D$23*'Example Input'!AC26+E$23*(0.65*'Example Input'!AC27+0.35*'Example Input'!AC28)+F$23*'Example Input'!AC29</f>
        <v>83.197478141481056</v>
      </c>
      <c r="D89" s="61">
        <f>'Example Input'!AC15</f>
        <v>2.11376612158403</v>
      </c>
      <c r="E89" s="61">
        <f>'Example Input'!AC16</f>
        <v>10.4832304078324</v>
      </c>
      <c r="F89" s="61">
        <f>0.65*'Example Input'!AC17+0.35*'Example Input'!AC18</f>
        <v>2.7576426350978305</v>
      </c>
      <c r="G89" s="62">
        <f>'Example Input'!AC19</f>
        <v>1.9405323731856701</v>
      </c>
    </row>
    <row r="90" spans="1:7" x14ac:dyDescent="0.3">
      <c r="A90" s="55">
        <v>2042</v>
      </c>
      <c r="B90" s="57">
        <f>C$23*'Example Input'!AD15+D$23*'Example Input'!AD16+E$23*(0.65*'Example Input'!AD17+0.35*'Example Input'!AD18)+F$23*'Example Input'!AD19</f>
        <v>4.5694369558140986</v>
      </c>
      <c r="C90" s="57">
        <f>C$23*'Example Input'!AD25+D$23*'Example Input'!AD26+E$23*(0.65*'Example Input'!AD27+0.35*'Example Input'!AD28)+F$23*'Example Input'!AD29</f>
        <v>80.425042779481345</v>
      </c>
      <c r="D90" s="59">
        <f>'Example Input'!AD15</f>
        <v>1.7995656320842299</v>
      </c>
      <c r="E90" s="59">
        <f>'Example Input'!AD16</f>
        <v>8.7227933729731504</v>
      </c>
      <c r="F90" s="59">
        <f>0.65*'Example Input'!AD17+0.35*'Example Input'!AD18</f>
        <v>2.3747841574475426</v>
      </c>
      <c r="G90" s="60">
        <f>'Example Input'!AD19</f>
        <v>1.6185054445389999</v>
      </c>
    </row>
    <row r="91" spans="1:7" x14ac:dyDescent="0.3">
      <c r="A91" s="56">
        <v>2043</v>
      </c>
      <c r="B91" s="58">
        <f>C$23*'Example Input'!AE15+D$23*'Example Input'!AE16+E$23*(0.65*'Example Input'!AE17+0.35*'Example Input'!AE18)+F$23*'Example Input'!AE19</f>
        <v>3.7840553557373098</v>
      </c>
      <c r="C91" s="58">
        <f>C$23*'Example Input'!AE25+D$23*'Example Input'!AE26+E$23*(0.65*'Example Input'!AE27+0.35*'Example Input'!AE28)+F$23*'Example Input'!AE29</f>
        <v>77.82203964129944</v>
      </c>
      <c r="D91" s="61">
        <f>'Example Input'!AE15</f>
        <v>1.52576638550201</v>
      </c>
      <c r="E91" s="61">
        <f>'Example Input'!AE16</f>
        <v>7.1755478175733503</v>
      </c>
      <c r="F91" s="61">
        <f>0.65*'Example Input'!AE17+0.35*'Example Input'!AE18</f>
        <v>2.0373689102374808</v>
      </c>
      <c r="G91" s="62">
        <f>'Example Input'!AE19</f>
        <v>1.3363600532286299</v>
      </c>
    </row>
    <row r="92" spans="1:7" x14ac:dyDescent="0.3">
      <c r="A92" s="55">
        <v>2044</v>
      </c>
      <c r="B92" s="57">
        <f>C$23*'Example Input'!AF15+D$23*'Example Input'!AF16+E$23*(0.65*'Example Input'!AF17+0.35*'Example Input'!AF18)+F$23*'Example Input'!AF19</f>
        <v>3.1003224027374374</v>
      </c>
      <c r="C92" s="57">
        <f>C$23*'Example Input'!AF25+D$23*'Example Input'!AF26+E$23*(0.65*'Example Input'!AF27+0.35*'Example Input'!AF28)+F$23*'Example Input'!AF29</f>
        <v>75.378114192123675</v>
      </c>
      <c r="D92" s="59">
        <f>'Example Input'!AF15</f>
        <v>1.2892859916155199</v>
      </c>
      <c r="E92" s="59">
        <f>'Example Input'!AF16</f>
        <v>5.8279353630132302</v>
      </c>
      <c r="F92" s="59">
        <f>0.65*'Example Input'!AF17+0.35*'Example Input'!AF18</f>
        <v>1.7427820153898401</v>
      </c>
      <c r="G92" s="60">
        <f>'Example Input'!AF19</f>
        <v>1.0913739097719799</v>
      </c>
    </row>
    <row r="93" spans="1:7" x14ac:dyDescent="0.3">
      <c r="A93" s="56">
        <v>2045</v>
      </c>
      <c r="B93" s="58">
        <f>C$23*'Example Input'!AG15+D$23*'Example Input'!AG16+E$23*(0.65*'Example Input'!AG17+0.35*'Example Input'!AG18)+F$23*'Example Input'!AG19</f>
        <v>2.4601194499271033</v>
      </c>
      <c r="C93" s="58">
        <f>C$23*'Example Input'!AG25+D$23*'Example Input'!AG26+E$23*(0.65*'Example Input'!AG27+0.35*'Example Input'!AG28)+F$23*'Example Input'!AG29</f>
        <v>73.083544695254076</v>
      </c>
      <c r="D93" s="61">
        <f>'Example Input'!AG15</f>
        <v>1.0702882383490999</v>
      </c>
      <c r="E93" s="61">
        <f>'Example Input'!AG16</f>
        <v>4.56538806970776</v>
      </c>
      <c r="F93" s="61">
        <f>0.65*'Example Input'!AG17+0.35*'Example Input'!AG18</f>
        <v>1.4658028720955045</v>
      </c>
      <c r="G93" s="62">
        <f>'Example Input'!AG19</f>
        <v>0.86276100896975305</v>
      </c>
    </row>
    <row r="94" spans="1:7" x14ac:dyDescent="0.3">
      <c r="A94" s="55">
        <v>2046</v>
      </c>
      <c r="B94" s="57">
        <f>C$23*'Example Input'!AH15+D$23*'Example Input'!AH16+E$23*(0.65*'Example Input'!AH17+0.35*'Example Input'!AH18)+F$23*'Example Input'!AH19</f>
        <v>1.9998045585981374</v>
      </c>
      <c r="C94" s="57">
        <f>C$23*'Example Input'!AH25+D$23*'Example Input'!AH26+E$23*(0.65*'Example Input'!AH27+0.35*'Example Input'!AH28)+F$23*'Example Input'!AH29</f>
        <v>70.92920353982305</v>
      </c>
      <c r="D94" s="59">
        <f>'Example Input'!AH15</f>
        <v>0.91299432102113198</v>
      </c>
      <c r="E94" s="59">
        <f>'Example Input'!AH16</f>
        <v>3.65730341908061</v>
      </c>
      <c r="F94" s="59">
        <f>0.65*'Example Input'!AH17+0.35*'Example Input'!AH18</f>
        <v>1.2668902584289554</v>
      </c>
      <c r="G94" s="60">
        <f>'Example Input'!AH19</f>
        <v>0.69854278881435905</v>
      </c>
    </row>
    <row r="95" spans="1:7" x14ac:dyDescent="0.3">
      <c r="A95" s="56">
        <v>2047</v>
      </c>
      <c r="B95" s="58">
        <f>C$23*'Example Input'!AI15+D$23*'Example Input'!AI16+E$23*(0.65*'Example Input'!AI17+0.35*'Example Input'!AI18)+F$23*'Example Input'!AI19</f>
        <v>1.5576394559817799</v>
      </c>
      <c r="C95" s="58">
        <f>C$23*'Example Input'!AI25+D$23*'Example Input'!AI26+E$23*(0.65*'Example Input'!AI27+0.35*'Example Input'!AI28)+F$23*'Example Input'!AI29</f>
        <v>70.929203539823007</v>
      </c>
      <c r="D95" s="61">
        <f>'Example Input'!AI15</f>
        <v>0.76370027000256702</v>
      </c>
      <c r="E95" s="61">
        <f>'Example Input'!AI16</f>
        <v>2.7844710829333601</v>
      </c>
      <c r="F95" s="61">
        <f>0.65*'Example Input'!AI17+0.35*'Example Input'!AI18</f>
        <v>1.0750091916880047</v>
      </c>
      <c r="G95" s="62">
        <f>'Example Input'!AI19</f>
        <v>0.54136020754408798</v>
      </c>
    </row>
    <row r="96" spans="1:7" x14ac:dyDescent="0.3">
      <c r="A96" s="55">
        <v>2048</v>
      </c>
      <c r="B96" s="57">
        <f>C$23*'Example Input'!AJ15+D$23*'Example Input'!AJ16+E$23*(0.65*'Example Input'!AJ17+0.35*'Example Input'!AJ18)+F$23*'Example Input'!AJ19</f>
        <v>1.1660826825323387</v>
      </c>
      <c r="C96" s="57">
        <f>C$23*'Example Input'!AJ25+D$23*'Example Input'!AJ26+E$23*(0.65*'Example Input'!AJ27+0.35*'Example Input'!AJ28)+F$23*'Example Input'!AJ29</f>
        <v>70.929203539823007</v>
      </c>
      <c r="D96" s="59">
        <f>'Example Input'!AJ15</f>
        <v>0.63272525943576896</v>
      </c>
      <c r="E96" s="59">
        <f>'Example Input'!AJ16</f>
        <v>2.0110723694152899</v>
      </c>
      <c r="F96" s="59">
        <f>0.65*'Example Input'!AJ17+0.35*'Example Input'!AJ18</f>
        <v>0.90466417319655779</v>
      </c>
      <c r="G96" s="60">
        <f>'Example Input'!AJ19</f>
        <v>0.40257799412091999</v>
      </c>
    </row>
    <row r="97" spans="1:7" x14ac:dyDescent="0.3">
      <c r="A97" s="56">
        <v>2049</v>
      </c>
      <c r="B97" s="58">
        <f>C$23*'Example Input'!AK15+D$23*'Example Input'!AK16+E$23*(0.65*'Example Input'!AK17+0.35*'Example Input'!AK18)+F$23*'Example Input'!AK19</f>
        <v>0.8058225155950911</v>
      </c>
      <c r="C97" s="58">
        <f>C$23*'Example Input'!AK25+D$23*'Example Input'!AK26+E$23*(0.65*'Example Input'!AK27+0.35*'Example Input'!AK28)+F$23*'Example Input'!AK29</f>
        <v>70.929203539823007</v>
      </c>
      <c r="D97" s="61">
        <f>'Example Input'!AK15</f>
        <v>0.51354007115703304</v>
      </c>
      <c r="E97" s="61">
        <f>'Example Input'!AK16</f>
        <v>1.2990166758383199</v>
      </c>
      <c r="F97" s="61">
        <f>0.65*'Example Input'!AK17+0.35*'Example Input'!AK18</f>
        <v>0.74745319657505838</v>
      </c>
      <c r="G97" s="62">
        <f>'Example Input'!AK19</f>
        <v>0.27530775800674401</v>
      </c>
    </row>
    <row r="98" spans="1:7" x14ac:dyDescent="0.3">
      <c r="A98" s="55">
        <v>2050</v>
      </c>
      <c r="B98" s="57">
        <f>C$23*'Example Input'!AL15+D$23*'Example Input'!AL16+E$23*(0.65*'Example Input'!AL17+0.35*'Example Input'!AL18)+F$23*'Example Input'!AL19</f>
        <v>0.46177977642419066</v>
      </c>
      <c r="C98" s="57">
        <f>C$23*'Example Input'!AL25+D$23*'Example Input'!AL26+E$23*(0.65*'Example Input'!AL27+0.35*'Example Input'!AL28)+F$23*'Example Input'!AL29</f>
        <v>70.929203539823007</v>
      </c>
      <c r="D98" s="59">
        <f>'Example Input'!AL15</f>
        <v>0.40113436140717001</v>
      </c>
      <c r="E98" s="59">
        <f>'Example Input'!AL16</f>
        <v>0.61853488499439802</v>
      </c>
      <c r="F98" s="59">
        <f>0.65*'Example Input'!AL17+0.35*'Example Input'!AL18</f>
        <v>0.5967808186115362</v>
      </c>
      <c r="G98" s="60">
        <f>'Example Input'!AL19</f>
        <v>0.154194157613187</v>
      </c>
    </row>
    <row r="99" spans="1:7" ht="28.05" customHeight="1" x14ac:dyDescent="0.3">
      <c r="A99" s="162" t="s">
        <v>238</v>
      </c>
      <c r="B99" s="162"/>
      <c r="C99" s="162"/>
      <c r="D99" s="162"/>
      <c r="E99" s="162"/>
      <c r="F99" s="162"/>
      <c r="G99" s="162"/>
    </row>
    <row r="100" spans="1:7" ht="28.05" customHeight="1" x14ac:dyDescent="0.3">
      <c r="A100" s="166" t="s">
        <v>198</v>
      </c>
      <c r="B100" s="166"/>
      <c r="C100" s="166"/>
      <c r="D100" s="166"/>
      <c r="E100" s="166"/>
      <c r="F100" s="166"/>
      <c r="G100" s="166"/>
    </row>
    <row r="101" spans="1:7" x14ac:dyDescent="0.3">
      <c r="A101" s="159" t="s">
        <v>190</v>
      </c>
      <c r="B101" s="159"/>
      <c r="C101" s="159"/>
      <c r="D101" s="159"/>
      <c r="E101" s="159"/>
      <c r="F101" s="159"/>
      <c r="G101" s="159"/>
    </row>
    <row r="102" spans="1:7" x14ac:dyDescent="0.3">
      <c r="A102" s="160" t="s">
        <v>308</v>
      </c>
      <c r="B102" s="160"/>
      <c r="C102" s="160"/>
      <c r="D102" s="160"/>
      <c r="E102" s="160"/>
      <c r="F102" s="160"/>
      <c r="G102" s="160"/>
    </row>
    <row r="103" spans="1:7" x14ac:dyDescent="0.3">
      <c r="A103" s="157" t="s">
        <v>276</v>
      </c>
      <c r="B103" s="157"/>
      <c r="C103" s="157"/>
      <c r="D103" s="157"/>
      <c r="E103" s="157"/>
      <c r="F103" s="157"/>
      <c r="G103" s="157"/>
    </row>
    <row r="104" spans="1:7" x14ac:dyDescent="0.3">
      <c r="A104" s="15" t="s">
        <v>46</v>
      </c>
      <c r="B104" s="15" t="s">
        <v>140</v>
      </c>
      <c r="C104" s="15" t="s">
        <v>141</v>
      </c>
      <c r="D104" s="15"/>
      <c r="E104" s="15"/>
      <c r="F104" s="15"/>
      <c r="G104" s="40" t="s">
        <v>25</v>
      </c>
    </row>
    <row r="105" spans="1:7" ht="24.6" x14ac:dyDescent="0.3">
      <c r="A105" s="51" t="s">
        <v>51</v>
      </c>
      <c r="B105" s="51" t="s">
        <v>142</v>
      </c>
      <c r="C105" s="161" t="s">
        <v>309</v>
      </c>
      <c r="D105" s="161"/>
      <c r="E105" s="161"/>
      <c r="F105" s="161"/>
      <c r="G105" s="24" t="s">
        <v>315</v>
      </c>
    </row>
    <row r="106" spans="1:7" ht="24.6" x14ac:dyDescent="0.3">
      <c r="A106" s="52" t="s">
        <v>50</v>
      </c>
      <c r="B106" s="52" t="s">
        <v>143</v>
      </c>
      <c r="C106" s="163" t="s">
        <v>314</v>
      </c>
      <c r="D106" s="163"/>
      <c r="E106" s="163"/>
      <c r="F106" s="163"/>
      <c r="G106" s="25" t="s">
        <v>316</v>
      </c>
    </row>
    <row r="107" spans="1:7" ht="24.6" x14ac:dyDescent="0.3">
      <c r="A107" s="51" t="s">
        <v>231</v>
      </c>
      <c r="B107" s="51" t="s">
        <v>142</v>
      </c>
      <c r="C107" s="161" t="s">
        <v>191</v>
      </c>
      <c r="D107" s="161"/>
      <c r="E107" s="161"/>
      <c r="F107" s="161"/>
      <c r="G107" s="24" t="s">
        <v>192</v>
      </c>
    </row>
    <row r="108" spans="1:7" x14ac:dyDescent="0.3">
      <c r="A108" s="52" t="s">
        <v>139</v>
      </c>
      <c r="B108" s="52" t="s">
        <v>143</v>
      </c>
      <c r="C108" s="163" t="s">
        <v>191</v>
      </c>
      <c r="D108" s="163"/>
      <c r="E108" s="163"/>
      <c r="F108" s="163"/>
      <c r="G108" s="25" t="s">
        <v>193</v>
      </c>
    </row>
    <row r="110" spans="1:7" x14ac:dyDescent="0.3">
      <c r="A110" s="157" t="s">
        <v>194</v>
      </c>
      <c r="B110" s="157"/>
      <c r="C110" s="157"/>
      <c r="D110" s="157"/>
      <c r="E110" s="157"/>
      <c r="F110" s="157"/>
      <c r="G110" s="157"/>
    </row>
    <row r="111" spans="1:7" x14ac:dyDescent="0.3">
      <c r="A111" s="15" t="s">
        <v>23</v>
      </c>
      <c r="B111" s="15" t="s">
        <v>1</v>
      </c>
      <c r="C111" s="15" t="s">
        <v>156</v>
      </c>
      <c r="D111" s="15"/>
      <c r="E111" s="15"/>
      <c r="F111" s="15"/>
      <c r="G111" s="40" t="s">
        <v>25</v>
      </c>
    </row>
    <row r="112" spans="1:7" ht="24.6" x14ac:dyDescent="0.3">
      <c r="A112" s="22" t="s">
        <v>239</v>
      </c>
      <c r="B112" s="22" t="s">
        <v>42</v>
      </c>
      <c r="C112" s="168">
        <f>B72</f>
        <v>91.681042378305449</v>
      </c>
      <c r="D112" s="169"/>
      <c r="E112" s="169"/>
      <c r="F112" s="169"/>
      <c r="G112" s="24" t="s">
        <v>240</v>
      </c>
    </row>
    <row r="113" spans="1:7" ht="24.6" x14ac:dyDescent="0.3">
      <c r="A113" s="17" t="s">
        <v>159</v>
      </c>
      <c r="B113" s="17" t="s">
        <v>28</v>
      </c>
      <c r="C113" s="170">
        <f>C72</f>
        <v>216.81407873512666</v>
      </c>
      <c r="D113" s="171"/>
      <c r="E113" s="171"/>
      <c r="F113" s="171"/>
      <c r="G113" s="25" t="s">
        <v>195</v>
      </c>
    </row>
    <row r="114" spans="1:7" ht="24.6" x14ac:dyDescent="0.3">
      <c r="A114" s="20" t="s">
        <v>232</v>
      </c>
      <c r="B114" s="20" t="s">
        <v>47</v>
      </c>
      <c r="C114" s="172" cm="1">
        <f t="array" ref="C114">IFERROR(INDEX(A34:A60,MATCH(1,(F34:F60&gt;G34:G60)*1,0)),"Beyond 2050")</f>
        <v>2035</v>
      </c>
      <c r="D114" s="173"/>
      <c r="E114" s="173"/>
      <c r="F114" s="173"/>
      <c r="G114" s="54" t="s">
        <v>317</v>
      </c>
    </row>
    <row r="115" spans="1:7" ht="24.6" x14ac:dyDescent="0.3">
      <c r="A115" s="20" t="s">
        <v>144</v>
      </c>
      <c r="B115" s="20" t="s">
        <v>47</v>
      </c>
      <c r="C115" s="172" cm="1">
        <f t="array" ref="C115">IFERROR(INDEX(A68:A98,MATCH(1,(C28&gt;C68:C98)*1,0)),"Beyond 2050")</f>
        <v>2030</v>
      </c>
      <c r="D115" s="173"/>
      <c r="E115" s="173"/>
      <c r="F115" s="173"/>
      <c r="G115" s="54" t="s">
        <v>318</v>
      </c>
    </row>
    <row r="117" spans="1:7" ht="49.95" customHeight="1" x14ac:dyDescent="0.3">
      <c r="A117" s="145" t="s">
        <v>319</v>
      </c>
      <c r="B117" s="145"/>
      <c r="C117" s="145"/>
      <c r="D117" s="145"/>
      <c r="E117" s="145"/>
      <c r="F117" s="145"/>
      <c r="G117" s="145"/>
    </row>
    <row r="118" spans="1:7" x14ac:dyDescent="0.3">
      <c r="G118"/>
    </row>
    <row r="119" spans="1:7" x14ac:dyDescent="0.3">
      <c r="G119"/>
    </row>
    <row r="120" spans="1:7" x14ac:dyDescent="0.3">
      <c r="G120"/>
    </row>
    <row r="121" spans="1:7" x14ac:dyDescent="0.3">
      <c r="G121"/>
    </row>
    <row r="122" spans="1:7" x14ac:dyDescent="0.3">
      <c r="G122"/>
    </row>
    <row r="123" spans="1:7" x14ac:dyDescent="0.3">
      <c r="G123"/>
    </row>
  </sheetData>
  <mergeCells count="31">
    <mergeCell ref="A61:G61"/>
    <mergeCell ref="A102:G102"/>
    <mergeCell ref="A103:G103"/>
    <mergeCell ref="C22:F22"/>
    <mergeCell ref="A1:G1"/>
    <mergeCell ref="A2:G2"/>
    <mergeCell ref="A3:G3"/>
    <mergeCell ref="A5:G5"/>
    <mergeCell ref="A19:G19"/>
    <mergeCell ref="A20:G20"/>
    <mergeCell ref="C112:F112"/>
    <mergeCell ref="C113:F113"/>
    <mergeCell ref="C114:F114"/>
    <mergeCell ref="C115:F115"/>
    <mergeCell ref="A117:G117"/>
    <mergeCell ref="A110:G110"/>
    <mergeCell ref="A25:G25"/>
    <mergeCell ref="A30:G30"/>
    <mergeCell ref="A64:G64"/>
    <mergeCell ref="A65:G65"/>
    <mergeCell ref="A66:G66"/>
    <mergeCell ref="C107:F107"/>
    <mergeCell ref="A99:G99"/>
    <mergeCell ref="C108:F108"/>
    <mergeCell ref="C27:F27"/>
    <mergeCell ref="C28:F28"/>
    <mergeCell ref="A101:G101"/>
    <mergeCell ref="C105:F105"/>
    <mergeCell ref="C106:F106"/>
    <mergeCell ref="A100:G100"/>
    <mergeCell ref="A31:G3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A61CD-E98B-430B-A11E-416CD83208EA}">
  <dimension ref="A1:AL110"/>
  <sheetViews>
    <sheetView workbookViewId="0">
      <selection sqref="A1:AK1"/>
    </sheetView>
  </sheetViews>
  <sheetFormatPr defaultRowHeight="14.4" x14ac:dyDescent="0.3"/>
  <cols>
    <col min="1" max="1" width="18.5546875" customWidth="1"/>
    <col min="2" max="2" width="37" customWidth="1"/>
    <col min="3" max="3" width="92.5546875" customWidth="1"/>
    <col min="4" max="7" width="27.77734375" customWidth="1"/>
    <col min="8" max="10" width="11.109375" customWidth="1"/>
    <col min="11" max="11" width="11.109375" style="1" customWidth="1"/>
    <col min="12" max="38" width="11.109375" customWidth="1"/>
  </cols>
  <sheetData>
    <row r="1" spans="1:38" ht="17.399999999999999" x14ac:dyDescent="0.35">
      <c r="A1" s="179" t="s">
        <v>166</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row>
    <row r="2" spans="1:38" x14ac:dyDescent="0.3">
      <c r="A2" s="180" t="s">
        <v>264</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row>
    <row r="3" spans="1:38" x14ac:dyDescent="0.3">
      <c r="A3" s="181" t="s">
        <v>265</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row>
    <row r="4" spans="1:38" x14ac:dyDescent="0.3">
      <c r="A4" s="182" t="s">
        <v>255</v>
      </c>
      <c r="B4" s="182"/>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row>
    <row r="5" spans="1:38" x14ac:dyDescent="0.3">
      <c r="A5" s="5" t="s">
        <v>161</v>
      </c>
      <c r="B5" s="5" t="s">
        <v>8</v>
      </c>
      <c r="C5" s="5"/>
      <c r="D5" s="5"/>
      <c r="E5" s="5"/>
      <c r="F5" s="5"/>
      <c r="G5" s="5"/>
      <c r="H5" s="5">
        <v>2020</v>
      </c>
      <c r="I5" s="5">
        <v>2021</v>
      </c>
      <c r="J5" s="5">
        <v>2022</v>
      </c>
      <c r="K5" s="5">
        <v>2023</v>
      </c>
      <c r="L5" s="5">
        <v>2024</v>
      </c>
      <c r="M5" s="5">
        <v>2025</v>
      </c>
      <c r="N5" s="5">
        <v>2026</v>
      </c>
      <c r="O5" s="5">
        <v>2027</v>
      </c>
      <c r="P5" s="5">
        <v>2028</v>
      </c>
      <c r="Q5" s="5">
        <v>2029</v>
      </c>
      <c r="R5" s="5">
        <v>2030</v>
      </c>
      <c r="S5" s="5">
        <v>2031</v>
      </c>
      <c r="T5" s="5">
        <v>2032</v>
      </c>
      <c r="U5" s="5">
        <v>2033</v>
      </c>
      <c r="V5" s="5">
        <v>2034</v>
      </c>
      <c r="W5" s="5">
        <v>2035</v>
      </c>
      <c r="X5" s="5">
        <v>2036</v>
      </c>
      <c r="Y5" s="5">
        <v>2037</v>
      </c>
      <c r="Z5" s="5">
        <v>2038</v>
      </c>
      <c r="AA5" s="5">
        <v>2039</v>
      </c>
      <c r="AB5" s="5">
        <v>2040</v>
      </c>
      <c r="AC5" s="5">
        <v>2041</v>
      </c>
      <c r="AD5" s="5">
        <v>2042</v>
      </c>
      <c r="AE5" s="5">
        <v>2043</v>
      </c>
      <c r="AF5" s="5">
        <v>2044</v>
      </c>
      <c r="AG5" s="5">
        <v>2045</v>
      </c>
      <c r="AH5" s="5">
        <v>2046</v>
      </c>
      <c r="AI5" s="5">
        <v>2047</v>
      </c>
      <c r="AJ5" s="5">
        <v>2048</v>
      </c>
      <c r="AK5" s="5">
        <v>2049</v>
      </c>
      <c r="AL5" s="5">
        <v>2050</v>
      </c>
    </row>
    <row r="6" spans="1:38" x14ac:dyDescent="0.3">
      <c r="A6" s="74" t="s">
        <v>76</v>
      </c>
      <c r="B6" s="74" t="s">
        <v>167</v>
      </c>
      <c r="C6" s="74"/>
      <c r="D6" s="74"/>
      <c r="E6" s="74"/>
      <c r="F6" s="74"/>
      <c r="G6" s="74"/>
      <c r="H6" s="71">
        <v>0.31496279380266701</v>
      </c>
      <c r="I6" s="71">
        <v>0.34334223087466698</v>
      </c>
      <c r="J6" s="71">
        <v>0.307913134842622</v>
      </c>
      <c r="K6" s="71">
        <v>0.27248403881057698</v>
      </c>
      <c r="L6" s="71">
        <v>0.23705494277853301</v>
      </c>
      <c r="M6" s="71">
        <v>0.20162584674648801</v>
      </c>
      <c r="N6" s="71">
        <v>0.16619675071444301</v>
      </c>
      <c r="O6" s="71">
        <v>0.154700782172735</v>
      </c>
      <c r="P6" s="71">
        <v>0.14320481363102899</v>
      </c>
      <c r="Q6" s="71">
        <v>9.8901636619420905E-2</v>
      </c>
      <c r="R6" s="71">
        <v>5.4598459607812899E-2</v>
      </c>
      <c r="S6" s="71">
        <v>4.8171473686250299E-2</v>
      </c>
      <c r="T6" s="71">
        <v>4.1744487764687699E-2</v>
      </c>
      <c r="U6" s="71">
        <v>3.5317501843125203E-2</v>
      </c>
      <c r="V6" s="71">
        <v>2.8890515921562599E-2</v>
      </c>
      <c r="W6" s="71">
        <v>2.2463529999999999E-2</v>
      </c>
      <c r="X6" s="71">
        <v>1.7970824E-2</v>
      </c>
      <c r="Y6" s="71">
        <v>1.3478118000000001E-2</v>
      </c>
      <c r="Z6" s="71">
        <v>8.9854119999999999E-3</v>
      </c>
      <c r="AA6" s="71">
        <v>4.492706E-3</v>
      </c>
      <c r="AB6" s="71">
        <v>0</v>
      </c>
      <c r="AC6" s="71">
        <v>0</v>
      </c>
      <c r="AD6" s="71">
        <v>0</v>
      </c>
      <c r="AE6" s="71">
        <v>0</v>
      </c>
      <c r="AF6" s="71">
        <v>0</v>
      </c>
      <c r="AG6" s="71">
        <v>0</v>
      </c>
      <c r="AH6" s="71">
        <v>0</v>
      </c>
      <c r="AI6" s="71">
        <v>0</v>
      </c>
      <c r="AJ6" s="71">
        <v>0</v>
      </c>
      <c r="AK6" s="71">
        <v>0</v>
      </c>
      <c r="AL6" s="71">
        <v>0</v>
      </c>
    </row>
    <row r="7" spans="1:38" x14ac:dyDescent="0.3">
      <c r="A7" s="43" t="s">
        <v>162</v>
      </c>
      <c r="B7" s="43" t="s">
        <v>75</v>
      </c>
      <c r="C7" s="43"/>
      <c r="D7" s="43"/>
      <c r="E7" s="43"/>
      <c r="F7" s="43"/>
      <c r="G7" s="43"/>
      <c r="H7" s="72">
        <v>0.65</v>
      </c>
      <c r="I7" s="72">
        <v>0.65</v>
      </c>
      <c r="J7" s="72">
        <v>0.53400000000000003</v>
      </c>
      <c r="K7" s="72">
        <v>0.47599999999999998</v>
      </c>
      <c r="L7" s="72">
        <v>0.54535386277687703</v>
      </c>
      <c r="M7" s="72">
        <v>0.46612821898073098</v>
      </c>
      <c r="N7" s="72">
        <v>0.38690257518458498</v>
      </c>
      <c r="O7" s="72">
        <v>0.30767693138843899</v>
      </c>
      <c r="P7" s="72">
        <v>0.228451287592292</v>
      </c>
      <c r="Q7" s="72">
        <v>0.149225643796146</v>
      </c>
      <c r="R7" s="72">
        <v>7.0000000000000007E-2</v>
      </c>
      <c r="S7" s="72">
        <v>6.6500000000000004E-2</v>
      </c>
      <c r="T7" s="72">
        <v>6.3E-2</v>
      </c>
      <c r="U7" s="72">
        <v>5.9499999999999997E-2</v>
      </c>
      <c r="V7" s="72">
        <v>5.6000000000000001E-2</v>
      </c>
      <c r="W7" s="72">
        <v>5.2499999999999998E-2</v>
      </c>
      <c r="X7" s="72">
        <v>4.9000000000000002E-2</v>
      </c>
      <c r="Y7" s="72">
        <v>4.5499999999999999E-2</v>
      </c>
      <c r="Z7" s="72">
        <v>4.2000000000000003E-2</v>
      </c>
      <c r="AA7" s="72">
        <v>3.85E-2</v>
      </c>
      <c r="AB7" s="72">
        <v>3.5000000000000003E-2</v>
      </c>
      <c r="AC7" s="72">
        <v>3.15E-2</v>
      </c>
      <c r="AD7" s="72">
        <v>2.8000000000000001E-2</v>
      </c>
      <c r="AE7" s="72">
        <v>2.4500000000000001E-2</v>
      </c>
      <c r="AF7" s="72">
        <v>2.1000000000000001E-2</v>
      </c>
      <c r="AG7" s="72">
        <v>1.7500000000000002E-2</v>
      </c>
      <c r="AH7" s="72">
        <v>1.4E-2</v>
      </c>
      <c r="AI7" s="72">
        <v>1.0500000000000001E-2</v>
      </c>
      <c r="AJ7" s="72">
        <v>7.0000000000000001E-3</v>
      </c>
      <c r="AK7" s="72">
        <v>3.5000000000000001E-3</v>
      </c>
      <c r="AL7" s="72">
        <v>0</v>
      </c>
    </row>
    <row r="8" spans="1:38" x14ac:dyDescent="0.3">
      <c r="A8" s="74" t="s">
        <v>77</v>
      </c>
      <c r="B8" s="74" t="s">
        <v>64</v>
      </c>
      <c r="C8" s="74"/>
      <c r="D8" s="74"/>
      <c r="E8" s="74"/>
      <c r="F8" s="74"/>
      <c r="G8" s="74"/>
      <c r="H8" s="71">
        <v>0.23313999999999999</v>
      </c>
      <c r="I8" s="71">
        <v>0.21232999999999999</v>
      </c>
      <c r="J8" s="71">
        <v>0.19338</v>
      </c>
      <c r="K8" s="71">
        <v>0.19339005055272299</v>
      </c>
      <c r="L8" s="71">
        <v>0.14850134860521</v>
      </c>
      <c r="M8" s="71">
        <v>0.13234471853508201</v>
      </c>
      <c r="N8" s="71">
        <v>0.116188088464955</v>
      </c>
      <c r="O8" s="71">
        <v>0.10003145839482799</v>
      </c>
      <c r="P8" s="71">
        <v>8.3874828324700695E-2</v>
      </c>
      <c r="Q8" s="71">
        <v>6.7718198254573397E-2</v>
      </c>
      <c r="R8" s="71">
        <v>5.1561568184446099E-2</v>
      </c>
      <c r="S8" s="71">
        <v>4.0833191980688903E-2</v>
      </c>
      <c r="T8" s="71">
        <v>3.5292956767094097E-2</v>
      </c>
      <c r="U8" s="71">
        <v>3.06494609194643E-2</v>
      </c>
      <c r="V8" s="71">
        <v>2.7824029572906799E-2</v>
      </c>
      <c r="W8" s="71">
        <v>2.48216743772256E-2</v>
      </c>
      <c r="X8" s="71">
        <v>2.0533091375209599E-2</v>
      </c>
      <c r="Y8" s="71">
        <v>1.8263413324176799E-2</v>
      </c>
      <c r="Z8" s="71">
        <v>1.78399122432574E-2</v>
      </c>
      <c r="AA8" s="71">
        <v>1.6891474529625399E-2</v>
      </c>
      <c r="AB8" s="71">
        <v>1.5306374560403201E-2</v>
      </c>
      <c r="AC8" s="71">
        <v>1.27064093188859E-2</v>
      </c>
      <c r="AD8" s="71">
        <v>1.2058575421494201E-2</v>
      </c>
      <c r="AE8" s="71">
        <v>1.1812380257711801E-2</v>
      </c>
      <c r="AF8" s="71">
        <v>1.1102442959280701E-2</v>
      </c>
      <c r="AG8" s="71">
        <v>9.4285490555447698E-3</v>
      </c>
      <c r="AH8" s="71">
        <v>8.5603307175814106E-3</v>
      </c>
      <c r="AI8" s="71">
        <v>7.8929845517568403E-3</v>
      </c>
      <c r="AJ8" s="71">
        <v>7.4912625284179997E-3</v>
      </c>
      <c r="AK8" s="71">
        <v>6.9709267311264603E-3</v>
      </c>
      <c r="AL8" s="71">
        <v>6.8512486237139996E-3</v>
      </c>
    </row>
    <row r="9" spans="1:38" x14ac:dyDescent="0.3">
      <c r="A9" s="43" t="s">
        <v>334</v>
      </c>
      <c r="B9" s="43" t="s">
        <v>333</v>
      </c>
      <c r="C9" s="43"/>
      <c r="D9" s="43"/>
      <c r="E9" s="43"/>
      <c r="F9" s="43"/>
      <c r="G9" s="43"/>
      <c r="H9" s="72">
        <v>0.47</v>
      </c>
      <c r="I9" s="72">
        <v>0.46150000000000002</v>
      </c>
      <c r="J9" s="72">
        <v>0.42299999999999999</v>
      </c>
      <c r="K9" s="72">
        <v>0.42299999999999999</v>
      </c>
      <c r="L9" s="72">
        <v>0.416727272727273</v>
      </c>
      <c r="M9" s="72">
        <v>0.41045454545454502</v>
      </c>
      <c r="N9" s="72">
        <v>0.40418181818181798</v>
      </c>
      <c r="O9" s="72">
        <v>0.39790909090909099</v>
      </c>
      <c r="P9" s="72">
        <v>0.391636363636364</v>
      </c>
      <c r="Q9" s="72">
        <v>0.38536363636363602</v>
      </c>
      <c r="R9" s="72">
        <v>0.37909090909090898</v>
      </c>
      <c r="S9" s="72">
        <v>0.37</v>
      </c>
      <c r="T9" s="72">
        <v>0.36090909090909101</v>
      </c>
      <c r="U9" s="72">
        <v>0.35181818181818197</v>
      </c>
      <c r="V9" s="72">
        <v>0.34272727272727299</v>
      </c>
      <c r="W9" s="72">
        <v>0.33363636363636301</v>
      </c>
      <c r="X9" s="72">
        <v>0.32454545454545403</v>
      </c>
      <c r="Y9" s="72">
        <v>0.31545454545454499</v>
      </c>
      <c r="Z9" s="72">
        <v>0.306363636363636</v>
      </c>
      <c r="AA9" s="72">
        <v>0.29727272727272702</v>
      </c>
      <c r="AB9" s="72">
        <v>0.28818181818181798</v>
      </c>
      <c r="AC9" s="72">
        <v>0.279090909090909</v>
      </c>
      <c r="AD9" s="72">
        <v>0.27</v>
      </c>
      <c r="AE9" s="72">
        <v>0.26090909090908998</v>
      </c>
      <c r="AF9" s="72">
        <v>0.251818181818181</v>
      </c>
      <c r="AG9" s="72">
        <v>0.24272727272727199</v>
      </c>
      <c r="AH9" s="72">
        <v>0.233636363636363</v>
      </c>
      <c r="AI9" s="72">
        <v>0.22454545454545399</v>
      </c>
      <c r="AJ9" s="72">
        <v>0.21545454545454401</v>
      </c>
      <c r="AK9" s="72">
        <v>0.206363636363635</v>
      </c>
      <c r="AL9" s="72">
        <v>0.19727272727272599</v>
      </c>
    </row>
    <row r="10" spans="1:38" x14ac:dyDescent="0.3">
      <c r="K10"/>
    </row>
    <row r="11" spans="1:38" x14ac:dyDescent="0.3">
      <c r="A11" s="183" t="s">
        <v>242</v>
      </c>
      <c r="B11" s="183"/>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row>
    <row r="12" spans="1:38" x14ac:dyDescent="0.3">
      <c r="K12"/>
    </row>
    <row r="13" spans="1:38" x14ac:dyDescent="0.3">
      <c r="A13" s="182" t="s">
        <v>274</v>
      </c>
      <c r="B13" s="182"/>
      <c r="C13" s="182"/>
      <c r="D13" s="182"/>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2"/>
      <c r="AL13" s="182"/>
    </row>
    <row r="14" spans="1:38" x14ac:dyDescent="0.3">
      <c r="A14" s="5" t="s">
        <v>202</v>
      </c>
      <c r="B14" s="5" t="s">
        <v>8</v>
      </c>
      <c r="C14" s="15" t="s">
        <v>203</v>
      </c>
      <c r="D14" s="15" t="s">
        <v>168</v>
      </c>
      <c r="E14" s="15" t="s">
        <v>204</v>
      </c>
      <c r="F14" s="15" t="s">
        <v>205</v>
      </c>
      <c r="G14" s="15" t="s">
        <v>1</v>
      </c>
      <c r="H14" s="5">
        <v>2020</v>
      </c>
      <c r="I14" s="5">
        <v>2021</v>
      </c>
      <c r="J14" s="5">
        <v>2022</v>
      </c>
      <c r="K14" s="5">
        <v>2023</v>
      </c>
      <c r="L14" s="5">
        <v>2024</v>
      </c>
      <c r="M14" s="5">
        <v>2025</v>
      </c>
      <c r="N14" s="5">
        <v>2026</v>
      </c>
      <c r="O14" s="5">
        <v>2027</v>
      </c>
      <c r="P14" s="5">
        <v>2028</v>
      </c>
      <c r="Q14" s="5">
        <v>2029</v>
      </c>
      <c r="R14" s="5">
        <v>2030</v>
      </c>
      <c r="S14" s="5">
        <v>2031</v>
      </c>
      <c r="T14" s="5">
        <v>2032</v>
      </c>
      <c r="U14" s="5">
        <v>2033</v>
      </c>
      <c r="V14" s="5">
        <v>2034</v>
      </c>
      <c r="W14" s="5">
        <v>2035</v>
      </c>
      <c r="X14" s="5">
        <v>2036</v>
      </c>
      <c r="Y14" s="5">
        <v>2037</v>
      </c>
      <c r="Z14" s="5">
        <v>2038</v>
      </c>
      <c r="AA14" s="5">
        <v>2039</v>
      </c>
      <c r="AB14" s="5">
        <v>2040</v>
      </c>
      <c r="AC14" s="5">
        <v>2041</v>
      </c>
      <c r="AD14" s="5">
        <v>2042</v>
      </c>
      <c r="AE14" s="5">
        <v>2043</v>
      </c>
      <c r="AF14" s="5">
        <v>2044</v>
      </c>
      <c r="AG14" s="5">
        <v>2045</v>
      </c>
      <c r="AH14" s="5">
        <v>2046</v>
      </c>
      <c r="AI14" s="5">
        <v>2047</v>
      </c>
      <c r="AJ14" s="5">
        <v>2048</v>
      </c>
      <c r="AK14" s="5">
        <v>2049</v>
      </c>
      <c r="AL14" s="5">
        <v>2050</v>
      </c>
    </row>
    <row r="15" spans="1:38" x14ac:dyDescent="0.3">
      <c r="A15" s="74" t="s">
        <v>219</v>
      </c>
      <c r="B15" s="74" t="s">
        <v>167</v>
      </c>
      <c r="C15" s="22" t="s">
        <v>220</v>
      </c>
      <c r="D15" s="22" t="s">
        <v>65</v>
      </c>
      <c r="E15" s="22" t="s">
        <v>208</v>
      </c>
      <c r="F15" s="22" t="s">
        <v>221</v>
      </c>
      <c r="G15" s="22" t="s">
        <v>207</v>
      </c>
      <c r="H15" s="73">
        <v>49.0941329483489</v>
      </c>
      <c r="I15" s="73">
        <v>45.993043698002502</v>
      </c>
      <c r="J15" s="73">
        <v>42.137470217381797</v>
      </c>
      <c r="K15" s="73">
        <v>38.497759254368098</v>
      </c>
      <c r="L15" s="73">
        <v>35.0558155493813</v>
      </c>
      <c r="M15" s="73">
        <v>31.853126686934999</v>
      </c>
      <c r="N15" s="73">
        <v>28.595370933715301</v>
      </c>
      <c r="O15" s="73">
        <v>25.640215832228701</v>
      </c>
      <c r="P15" s="73">
        <v>22.865516264331301</v>
      </c>
      <c r="Q15" s="73">
        <v>20.267411146728001</v>
      </c>
      <c r="R15" s="73">
        <v>17.762281721307801</v>
      </c>
      <c r="S15" s="73">
        <v>15.6513014409283</v>
      </c>
      <c r="T15" s="73">
        <v>13.6094723493916</v>
      </c>
      <c r="U15" s="73">
        <v>11.7096790842362</v>
      </c>
      <c r="V15" s="73">
        <v>9.9448409536417692</v>
      </c>
      <c r="W15" s="73">
        <v>8.3133526360118797</v>
      </c>
      <c r="X15" s="73">
        <v>6.7891175854435799</v>
      </c>
      <c r="Y15" s="73">
        <v>5.3951839808195396</v>
      </c>
      <c r="Z15" s="73">
        <v>4.2173862752550999</v>
      </c>
      <c r="AA15" s="73">
        <v>3.2787744436109398</v>
      </c>
      <c r="AB15" s="73">
        <v>2.53053131344361</v>
      </c>
      <c r="AC15" s="73">
        <v>2.11376612158403</v>
      </c>
      <c r="AD15" s="73">
        <v>1.7995656320842299</v>
      </c>
      <c r="AE15" s="73">
        <v>1.52576638550201</v>
      </c>
      <c r="AF15" s="73">
        <v>1.2892859916155199</v>
      </c>
      <c r="AG15" s="73">
        <v>1.0702882383490999</v>
      </c>
      <c r="AH15" s="73">
        <v>0.91299432102113198</v>
      </c>
      <c r="AI15" s="73">
        <v>0.76370027000256702</v>
      </c>
      <c r="AJ15" s="73">
        <v>0.63272525943576896</v>
      </c>
      <c r="AK15" s="73">
        <v>0.51354007115703304</v>
      </c>
      <c r="AL15" s="73">
        <v>0.40113436140717001</v>
      </c>
    </row>
    <row r="16" spans="1:38" x14ac:dyDescent="0.3">
      <c r="A16" s="43" t="s">
        <v>217</v>
      </c>
      <c r="B16" s="43" t="s">
        <v>75</v>
      </c>
      <c r="C16" s="17" t="s">
        <v>162</v>
      </c>
      <c r="D16" s="17" t="s">
        <v>211</v>
      </c>
      <c r="E16" s="17" t="s">
        <v>212</v>
      </c>
      <c r="F16" s="17" t="s">
        <v>218</v>
      </c>
      <c r="G16" s="17" t="s">
        <v>207</v>
      </c>
      <c r="H16" s="21">
        <v>248.2787232</v>
      </c>
      <c r="I16" s="21">
        <v>231.81012244335301</v>
      </c>
      <c r="J16" s="21">
        <v>213.807977602769</v>
      </c>
      <c r="K16" s="21">
        <v>196.38483029262699</v>
      </c>
      <c r="L16" s="21">
        <v>179.61984038261701</v>
      </c>
      <c r="M16" s="21">
        <v>164.18629574203899</v>
      </c>
      <c r="N16" s="21">
        <v>148.242957399739</v>
      </c>
      <c r="O16" s="21">
        <v>133.67050003878799</v>
      </c>
      <c r="P16" s="21">
        <v>119.84965560420601</v>
      </c>
      <c r="Q16" s="21">
        <v>106.777135233121</v>
      </c>
      <c r="R16" s="21">
        <v>94.019118549431496</v>
      </c>
      <c r="S16" s="21">
        <v>83.219641630010798</v>
      </c>
      <c r="T16" s="21">
        <v>72.643530895160296</v>
      </c>
      <c r="U16" s="21">
        <v>62.698143614051901</v>
      </c>
      <c r="V16" s="21">
        <v>53.358642270166399</v>
      </c>
      <c r="W16" s="21">
        <v>44.629923133366503</v>
      </c>
      <c r="X16" s="21">
        <v>36.379071548419503</v>
      </c>
      <c r="Y16" s="21">
        <v>28.7477390504</v>
      </c>
      <c r="Z16" s="21">
        <v>22.239855168218501</v>
      </c>
      <c r="AA16" s="21">
        <v>17.012765579177501</v>
      </c>
      <c r="AB16" s="21">
        <v>12.8120473756436</v>
      </c>
      <c r="AC16" s="21">
        <v>10.4832304078324</v>
      </c>
      <c r="AD16" s="21">
        <v>8.7227933729731504</v>
      </c>
      <c r="AE16" s="21">
        <v>7.1755478175733503</v>
      </c>
      <c r="AF16" s="21">
        <v>5.8279353630132302</v>
      </c>
      <c r="AG16" s="21">
        <v>4.56538806970776</v>
      </c>
      <c r="AH16" s="21">
        <v>3.65730341908061</v>
      </c>
      <c r="AI16" s="21">
        <v>2.7844710829333601</v>
      </c>
      <c r="AJ16" s="21">
        <v>2.0110723694152899</v>
      </c>
      <c r="AK16" s="21">
        <v>1.2990166758383199</v>
      </c>
      <c r="AL16" s="21">
        <v>0.61853488499439802</v>
      </c>
    </row>
    <row r="17" spans="1:38" x14ac:dyDescent="0.3">
      <c r="A17" s="74" t="s">
        <v>206</v>
      </c>
      <c r="B17" s="74" t="s">
        <v>64</v>
      </c>
      <c r="C17" s="22" t="s">
        <v>77</v>
      </c>
      <c r="D17" s="22" t="s">
        <v>65</v>
      </c>
      <c r="E17" s="22" t="s">
        <v>208</v>
      </c>
      <c r="F17" s="22" t="s">
        <v>215</v>
      </c>
      <c r="G17" s="22" t="s">
        <v>207</v>
      </c>
      <c r="H17" s="73">
        <v>48.073513379473702</v>
      </c>
      <c r="I17" s="73">
        <v>45.347218453414399</v>
      </c>
      <c r="J17" s="73">
        <v>42.044787092324199</v>
      </c>
      <c r="K17" s="73">
        <v>38.819272693754897</v>
      </c>
      <c r="L17" s="73">
        <v>35.689172648169901</v>
      </c>
      <c r="M17" s="73">
        <v>32.789910954116202</v>
      </c>
      <c r="N17" s="73">
        <v>29.761049758002201</v>
      </c>
      <c r="O17" s="73">
        <v>26.977204409079999</v>
      </c>
      <c r="P17" s="73">
        <v>24.3183248125208</v>
      </c>
      <c r="Q17" s="73">
        <v>21.786240435477101</v>
      </c>
      <c r="R17" s="73">
        <v>19.296132025572401</v>
      </c>
      <c r="S17" s="73">
        <v>17.182020535491201</v>
      </c>
      <c r="T17" s="73">
        <v>15.096689428441399</v>
      </c>
      <c r="U17" s="73">
        <v>13.1240260342539</v>
      </c>
      <c r="V17" s="73">
        <v>11.260773957374701</v>
      </c>
      <c r="W17" s="73">
        <v>9.5097229371286502</v>
      </c>
      <c r="X17" s="73">
        <v>7.8453854796617097</v>
      </c>
      <c r="Y17" s="73">
        <v>6.2981099017132998</v>
      </c>
      <c r="Z17" s="73">
        <v>4.9734545063458304</v>
      </c>
      <c r="AA17" s="73">
        <v>3.9062173703438798</v>
      </c>
      <c r="AB17" s="73">
        <v>3.0460914109831898</v>
      </c>
      <c r="AC17" s="73">
        <v>2.5706303384621099</v>
      </c>
      <c r="AD17" s="73">
        <v>2.2111075656838399</v>
      </c>
      <c r="AE17" s="73">
        <v>1.8942582013988201</v>
      </c>
      <c r="AF17" s="73">
        <v>1.6176267476309201</v>
      </c>
      <c r="AG17" s="73">
        <v>1.35752983085352</v>
      </c>
      <c r="AH17" s="73">
        <v>1.17074119071456</v>
      </c>
      <c r="AI17" s="73">
        <v>0.99055551588833501</v>
      </c>
      <c r="AJ17" s="73">
        <v>0.83059324013339897</v>
      </c>
      <c r="AK17" s="73">
        <v>0.68296446990731896</v>
      </c>
      <c r="AL17" s="73">
        <v>0.54147576254213703</v>
      </c>
    </row>
    <row r="18" spans="1:38" x14ac:dyDescent="0.3">
      <c r="A18" s="43" t="s">
        <v>206</v>
      </c>
      <c r="B18" s="43" t="s">
        <v>64</v>
      </c>
      <c r="C18" s="17" t="s">
        <v>77</v>
      </c>
      <c r="D18" s="17" t="s">
        <v>209</v>
      </c>
      <c r="E18" s="17" t="s">
        <v>210</v>
      </c>
      <c r="F18" s="17" t="s">
        <v>216</v>
      </c>
      <c r="G18" s="17" t="s">
        <v>207</v>
      </c>
      <c r="H18" s="21">
        <v>57.046336834745503</v>
      </c>
      <c r="I18" s="21">
        <v>53.814450937180403</v>
      </c>
      <c r="J18" s="21">
        <v>49.899584191999601</v>
      </c>
      <c r="K18" s="21">
        <v>46.075898648118503</v>
      </c>
      <c r="L18" s="21">
        <v>42.365322034194897</v>
      </c>
      <c r="M18" s="21">
        <v>38.928392708317702</v>
      </c>
      <c r="N18" s="21">
        <v>35.3378296728092</v>
      </c>
      <c r="O18" s="21">
        <v>32.037720635380602</v>
      </c>
      <c r="P18" s="21">
        <v>28.885752229723</v>
      </c>
      <c r="Q18" s="21">
        <v>25.8840931973889</v>
      </c>
      <c r="R18" s="21">
        <v>22.932194568793999</v>
      </c>
      <c r="S18" s="21">
        <v>20.426021430530501</v>
      </c>
      <c r="T18" s="21">
        <v>17.953965992871101</v>
      </c>
      <c r="U18" s="21">
        <v>15.6154724779626</v>
      </c>
      <c r="V18" s="21">
        <v>13.406680592200299</v>
      </c>
      <c r="W18" s="21">
        <v>11.3308974316343</v>
      </c>
      <c r="X18" s="21">
        <v>9.3579088506256607</v>
      </c>
      <c r="Y18" s="21">
        <v>7.5236912565495304</v>
      </c>
      <c r="Z18" s="21">
        <v>5.9533787234114204</v>
      </c>
      <c r="AA18" s="21">
        <v>4.6882226259425002</v>
      </c>
      <c r="AB18" s="21">
        <v>3.66858644072405</v>
      </c>
      <c r="AC18" s="21">
        <v>3.1049511859927401</v>
      </c>
      <c r="AD18" s="21">
        <v>2.6787549707229901</v>
      </c>
      <c r="AE18" s="21">
        <v>2.3031459409378501</v>
      </c>
      <c r="AF18" s="21">
        <v>1.9752132269421201</v>
      </c>
      <c r="AG18" s="21">
        <v>1.6668813772591899</v>
      </c>
      <c r="AH18" s="21">
        <v>1.44545281275569</v>
      </c>
      <c r="AI18" s="21">
        <v>1.2318517324588201</v>
      </c>
      <c r="AJ18" s="21">
        <v>1.04222447745671</v>
      </c>
      <c r="AK18" s="21">
        <v>0.867217974672289</v>
      </c>
      <c r="AL18" s="21">
        <v>0.699490208454706</v>
      </c>
    </row>
    <row r="19" spans="1:38" x14ac:dyDescent="0.3">
      <c r="A19" s="74" t="s">
        <v>217</v>
      </c>
      <c r="B19" s="74" t="s">
        <v>333</v>
      </c>
      <c r="C19" s="22" t="s">
        <v>334</v>
      </c>
      <c r="D19" s="22" t="s">
        <v>213</v>
      </c>
      <c r="E19" s="22" t="s">
        <v>214</v>
      </c>
      <c r="F19" s="22" t="s">
        <v>335</v>
      </c>
      <c r="G19" s="22" t="s">
        <v>207</v>
      </c>
      <c r="H19" s="73">
        <v>47.206994002142501</v>
      </c>
      <c r="I19" s="73">
        <v>44.1503122246895</v>
      </c>
      <c r="J19" s="73">
        <v>40.613017092747597</v>
      </c>
      <c r="K19" s="73">
        <v>37.205317411335898</v>
      </c>
      <c r="L19" s="73">
        <v>33.940926009131999</v>
      </c>
      <c r="M19" s="73">
        <v>30.945230386139698</v>
      </c>
      <c r="N19" s="73">
        <v>27.870349495364401</v>
      </c>
      <c r="O19" s="73">
        <v>25.068817894384601</v>
      </c>
      <c r="P19" s="73">
        <v>22.422725776930498</v>
      </c>
      <c r="Q19" s="73">
        <v>19.930120104289401</v>
      </c>
      <c r="R19" s="73">
        <v>17.5091183019005</v>
      </c>
      <c r="S19" s="73">
        <v>15.463632548675299</v>
      </c>
      <c r="T19" s="73">
        <v>13.470055983325</v>
      </c>
      <c r="U19" s="73">
        <v>11.602992916518399</v>
      </c>
      <c r="V19" s="73">
        <v>9.8568428575474591</v>
      </c>
      <c r="W19" s="73">
        <v>8.2315256647633106</v>
      </c>
      <c r="X19" s="73">
        <v>6.7017591120250097</v>
      </c>
      <c r="Y19" s="73">
        <v>5.2926298632291502</v>
      </c>
      <c r="Z19" s="73">
        <v>4.0949511962328904</v>
      </c>
      <c r="AA19" s="73">
        <v>3.1357241304508698</v>
      </c>
      <c r="AB19" s="73">
        <v>2.3670965074747699</v>
      </c>
      <c r="AC19" s="73">
        <v>1.9405323731856701</v>
      </c>
      <c r="AD19" s="73">
        <v>1.6185054445389999</v>
      </c>
      <c r="AE19" s="73">
        <v>1.3363600532286299</v>
      </c>
      <c r="AF19" s="73">
        <v>1.0913739097719799</v>
      </c>
      <c r="AG19" s="73">
        <v>0.86276100896975305</v>
      </c>
      <c r="AH19" s="73">
        <v>0.69854278881435905</v>
      </c>
      <c r="AI19" s="73">
        <v>0.54136020754408798</v>
      </c>
      <c r="AJ19" s="73">
        <v>0.40257799412091999</v>
      </c>
      <c r="AK19" s="73">
        <v>0.27530775800674401</v>
      </c>
      <c r="AL19" s="73">
        <v>0.154194157613187</v>
      </c>
    </row>
    <row r="20" spans="1:38" x14ac:dyDescent="0.3">
      <c r="K20"/>
    </row>
    <row r="21" spans="1:38" x14ac:dyDescent="0.3">
      <c r="A21" s="184" t="s">
        <v>266</v>
      </c>
      <c r="B21" s="184"/>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row>
    <row r="22" spans="1:38" x14ac:dyDescent="0.3">
      <c r="K22"/>
    </row>
    <row r="23" spans="1:38" x14ac:dyDescent="0.3">
      <c r="A23" s="182" t="s">
        <v>275</v>
      </c>
      <c r="B23" s="1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row>
    <row r="24" spans="1:38" x14ac:dyDescent="0.3">
      <c r="A24" s="5" t="s">
        <v>202</v>
      </c>
      <c r="B24" s="5" t="s">
        <v>8</v>
      </c>
      <c r="C24" s="15" t="s">
        <v>203</v>
      </c>
      <c r="D24" s="15" t="s">
        <v>168</v>
      </c>
      <c r="E24" s="15" t="s">
        <v>204</v>
      </c>
      <c r="F24" s="15" t="s">
        <v>205</v>
      </c>
      <c r="G24" s="15" t="s">
        <v>1</v>
      </c>
      <c r="H24" s="5">
        <v>2020</v>
      </c>
      <c r="I24" s="5">
        <v>2021</v>
      </c>
      <c r="J24" s="5">
        <v>2022</v>
      </c>
      <c r="K24" s="5">
        <v>2023</v>
      </c>
      <c r="L24" s="5">
        <v>2024</v>
      </c>
      <c r="M24" s="5">
        <v>2025</v>
      </c>
      <c r="N24" s="5">
        <v>2026</v>
      </c>
      <c r="O24" s="5">
        <v>2027</v>
      </c>
      <c r="P24" s="5">
        <v>2028</v>
      </c>
      <c r="Q24" s="5">
        <v>2029</v>
      </c>
      <c r="R24" s="5">
        <v>2030</v>
      </c>
      <c r="S24" s="5">
        <v>2031</v>
      </c>
      <c r="T24" s="5">
        <v>2032</v>
      </c>
      <c r="U24" s="5">
        <v>2033</v>
      </c>
      <c r="V24" s="5">
        <v>2034</v>
      </c>
      <c r="W24" s="5">
        <v>2035</v>
      </c>
      <c r="X24" s="5">
        <v>2036</v>
      </c>
      <c r="Y24" s="5">
        <v>2037</v>
      </c>
      <c r="Z24" s="5">
        <v>2038</v>
      </c>
      <c r="AA24" s="5">
        <v>2039</v>
      </c>
      <c r="AB24" s="5">
        <v>2040</v>
      </c>
      <c r="AC24" s="5">
        <v>2041</v>
      </c>
      <c r="AD24" s="5">
        <v>2042</v>
      </c>
      <c r="AE24" s="5">
        <v>2043</v>
      </c>
      <c r="AF24" s="5">
        <v>2044</v>
      </c>
      <c r="AG24" s="5">
        <v>2045</v>
      </c>
      <c r="AH24" s="5">
        <v>2046</v>
      </c>
      <c r="AI24" s="5">
        <v>2047</v>
      </c>
      <c r="AJ24" s="5">
        <v>2048</v>
      </c>
      <c r="AK24" s="5">
        <v>2049</v>
      </c>
      <c r="AL24" s="5">
        <v>2050</v>
      </c>
    </row>
    <row r="25" spans="1:38" x14ac:dyDescent="0.3">
      <c r="A25" s="74" t="s">
        <v>219</v>
      </c>
      <c r="B25" s="74" t="s">
        <v>167</v>
      </c>
      <c r="C25" s="22" t="s">
        <v>220</v>
      </c>
      <c r="D25" s="22" t="s">
        <v>65</v>
      </c>
      <c r="E25" s="22" t="s">
        <v>208</v>
      </c>
      <c r="F25" s="22" t="s">
        <v>226</v>
      </c>
      <c r="G25" s="22" t="s">
        <v>222</v>
      </c>
      <c r="H25" s="73">
        <v>175.25457054410799</v>
      </c>
      <c r="I25" s="73">
        <v>166.77523187174199</v>
      </c>
      <c r="J25" s="73">
        <v>158.70614888684599</v>
      </c>
      <c r="K25" s="73">
        <v>151.02747219601599</v>
      </c>
      <c r="L25" s="73">
        <v>143.720312778687</v>
      </c>
      <c r="M25" s="73">
        <v>136.766695521429</v>
      </c>
      <c r="N25" s="73">
        <v>130.14951500039601</v>
      </c>
      <c r="O25" s="73">
        <v>123.852493403149</v>
      </c>
      <c r="P25" s="73">
        <v>117.860140486351</v>
      </c>
      <c r="Q25" s="73">
        <v>112.15771547082301</v>
      </c>
      <c r="R25" s="73">
        <v>106.731190780235</v>
      </c>
      <c r="S25" s="73">
        <v>101.567217534227</v>
      </c>
      <c r="T25" s="73">
        <v>96.653092711069803</v>
      </c>
      <c r="U25" s="73">
        <v>91.976727899103693</v>
      </c>
      <c r="V25" s="73">
        <v>87.526619560067601</v>
      </c>
      <c r="W25" s="73">
        <v>83.291820731181602</v>
      </c>
      <c r="X25" s="73">
        <v>79.261914096364904</v>
      </c>
      <c r="Y25" s="73">
        <v>75.426986360349801</v>
      </c>
      <c r="Z25" s="73">
        <v>71.777603862651503</v>
      </c>
      <c r="AA25" s="73">
        <v>68.304789371407495</v>
      </c>
      <c r="AB25" s="73">
        <v>65</v>
      </c>
      <c r="AC25" s="73">
        <v>65</v>
      </c>
      <c r="AD25" s="73">
        <v>65</v>
      </c>
      <c r="AE25" s="73">
        <v>65</v>
      </c>
      <c r="AF25" s="73">
        <v>65</v>
      </c>
      <c r="AG25" s="73">
        <v>65</v>
      </c>
      <c r="AH25" s="73">
        <v>65</v>
      </c>
      <c r="AI25" s="73">
        <v>65</v>
      </c>
      <c r="AJ25" s="73">
        <v>65</v>
      </c>
      <c r="AK25" s="73">
        <v>65</v>
      </c>
      <c r="AL25" s="73">
        <v>65</v>
      </c>
    </row>
    <row r="26" spans="1:38" x14ac:dyDescent="0.3">
      <c r="A26" s="43" t="s">
        <v>217</v>
      </c>
      <c r="B26" s="43" t="s">
        <v>75</v>
      </c>
      <c r="C26" s="17" t="s">
        <v>162</v>
      </c>
      <c r="D26" s="17" t="s">
        <v>211</v>
      </c>
      <c r="E26" s="17" t="s">
        <v>212</v>
      </c>
      <c r="F26" s="17" t="s">
        <v>225</v>
      </c>
      <c r="G26" s="17" t="s">
        <v>222</v>
      </c>
      <c r="H26" s="21">
        <v>438</v>
      </c>
      <c r="I26" s="21">
        <v>411.23244572287803</v>
      </c>
      <c r="J26" s="21">
        <v>386.100740674017</v>
      </c>
      <c r="K26" s="21">
        <v>362.504912974408</v>
      </c>
      <c r="L26" s="21">
        <v>340.35110034024001</v>
      </c>
      <c r="M26" s="21">
        <v>319.55117670636798</v>
      </c>
      <c r="N26" s="21">
        <v>300.02240166799902</v>
      </c>
      <c r="O26" s="21">
        <v>281.687091346079</v>
      </c>
      <c r="P26" s="21">
        <v>264.47230936715101</v>
      </c>
      <c r="Q26" s="21">
        <v>248.30957672838099</v>
      </c>
      <c r="R26" s="21">
        <v>233.13459939366399</v>
      </c>
      <c r="S26" s="21">
        <v>218.887012537168</v>
      </c>
      <c r="T26" s="21">
        <v>205.510140416973</v>
      </c>
      <c r="U26" s="21">
        <v>192.95077092356999</v>
      </c>
      <c r="V26" s="21">
        <v>181.158943906426</v>
      </c>
      <c r="W26" s="21">
        <v>170.08775243656001</v>
      </c>
      <c r="X26" s="21">
        <v>159.69315621459799</v>
      </c>
      <c r="Y26" s="21">
        <v>149.933806382043</v>
      </c>
      <c r="Z26" s="21">
        <v>140.77088103887601</v>
      </c>
      <c r="AA26" s="21">
        <v>132.1679308132</v>
      </c>
      <c r="AB26" s="21">
        <v>124.090733868594</v>
      </c>
      <c r="AC26" s="21">
        <v>116.50715977244</v>
      </c>
      <c r="AD26" s="21">
        <v>109.387041683668</v>
      </c>
      <c r="AE26" s="21">
        <v>102.702056351519</v>
      </c>
      <c r="AF26" s="21">
        <v>96.425611447953997</v>
      </c>
      <c r="AG26" s="21">
        <v>90.532739785538894</v>
      </c>
      <c r="AH26" s="21">
        <v>85.000000000000099</v>
      </c>
      <c r="AI26" s="21">
        <v>85</v>
      </c>
      <c r="AJ26" s="21">
        <v>85</v>
      </c>
      <c r="AK26" s="21">
        <v>85</v>
      </c>
      <c r="AL26" s="21">
        <v>85</v>
      </c>
    </row>
    <row r="27" spans="1:38" x14ac:dyDescent="0.3">
      <c r="A27" s="74" t="s">
        <v>206</v>
      </c>
      <c r="B27" s="74" t="s">
        <v>64</v>
      </c>
      <c r="C27" s="22" t="s">
        <v>77</v>
      </c>
      <c r="D27" s="22" t="s">
        <v>65</v>
      </c>
      <c r="E27" s="22" t="s">
        <v>208</v>
      </c>
      <c r="F27" s="22" t="s">
        <v>223</v>
      </c>
      <c r="G27" s="22" t="s">
        <v>222</v>
      </c>
      <c r="H27" s="73">
        <v>226.45</v>
      </c>
      <c r="I27" s="73">
        <v>212.99785876400199</v>
      </c>
      <c r="J27" s="73">
        <v>200.34483478935499</v>
      </c>
      <c r="K27" s="73">
        <v>188.44345694219601</v>
      </c>
      <c r="L27" s="73">
        <v>177.24907408599699</v>
      </c>
      <c r="M27" s="73">
        <v>166.719687561136</v>
      </c>
      <c r="N27" s="73">
        <v>156.815793615921</v>
      </c>
      <c r="O27" s="73">
        <v>147.50023519791901</v>
      </c>
      <c r="P27" s="73">
        <v>138.73806254953999</v>
      </c>
      <c r="Q27" s="73">
        <v>130.49640208486699</v>
      </c>
      <c r="R27" s="73">
        <v>122.744333055786</v>
      </c>
      <c r="S27" s="73">
        <v>115.452771544703</v>
      </c>
      <c r="T27" s="73">
        <v>108.594361348603</v>
      </c>
      <c r="U27" s="73">
        <v>102.143371345094</v>
      </c>
      <c r="V27" s="73">
        <v>96.075598955360306</v>
      </c>
      <c r="W27" s="73">
        <v>90.368279341844399</v>
      </c>
      <c r="X27" s="73">
        <v>85</v>
      </c>
      <c r="Y27" s="73">
        <v>85</v>
      </c>
      <c r="Z27" s="73">
        <v>85</v>
      </c>
      <c r="AA27" s="73">
        <v>85</v>
      </c>
      <c r="AB27" s="73">
        <v>85</v>
      </c>
      <c r="AC27" s="73">
        <v>85</v>
      </c>
      <c r="AD27" s="73">
        <v>85</v>
      </c>
      <c r="AE27" s="73">
        <v>85</v>
      </c>
      <c r="AF27" s="73">
        <v>85</v>
      </c>
      <c r="AG27" s="73">
        <v>85</v>
      </c>
      <c r="AH27" s="73">
        <v>85</v>
      </c>
      <c r="AI27" s="73">
        <v>85</v>
      </c>
      <c r="AJ27" s="73">
        <v>85</v>
      </c>
      <c r="AK27" s="73">
        <v>85</v>
      </c>
      <c r="AL27" s="73">
        <v>85</v>
      </c>
    </row>
    <row r="28" spans="1:38" x14ac:dyDescent="0.3">
      <c r="A28" s="43" t="s">
        <v>206</v>
      </c>
      <c r="B28" s="43" t="s">
        <v>64</v>
      </c>
      <c r="C28" s="17" t="s">
        <v>77</v>
      </c>
      <c r="D28" s="17" t="s">
        <v>209</v>
      </c>
      <c r="E28" s="17" t="s">
        <v>210</v>
      </c>
      <c r="F28" s="17" t="s">
        <v>224</v>
      </c>
      <c r="G28" s="17" t="s">
        <v>222</v>
      </c>
      <c r="H28" s="21">
        <v>271</v>
      </c>
      <c r="I28" s="21">
        <v>256.15082148756801</v>
      </c>
      <c r="J28" s="21">
        <v>242.11528910979999</v>
      </c>
      <c r="K28" s="21">
        <v>228.84881992684601</v>
      </c>
      <c r="L28" s="21">
        <v>216.309273877203</v>
      </c>
      <c r="M28" s="21">
        <v>204.456819922601</v>
      </c>
      <c r="N28" s="21">
        <v>193.25380952734301</v>
      </c>
      <c r="O28" s="21">
        <v>182.66465707022499</v>
      </c>
      <c r="P28" s="21">
        <v>172.65572680916199</v>
      </c>
      <c r="Q28" s="21">
        <v>163.195226039483</v>
      </c>
      <c r="R28" s="21">
        <v>154.25310410650499</v>
      </c>
      <c r="S28" s="21">
        <v>145.80095695161901</v>
      </c>
      <c r="T28" s="21">
        <v>137.81193688867401</v>
      </c>
      <c r="U28" s="21">
        <v>130.26066732408401</v>
      </c>
      <c r="V28" s="21">
        <v>123.12316214975201</v>
      </c>
      <c r="W28" s="21">
        <v>116.37674955279</v>
      </c>
      <c r="X28" s="21">
        <v>110</v>
      </c>
      <c r="Y28" s="21">
        <v>110</v>
      </c>
      <c r="Z28" s="21">
        <v>110</v>
      </c>
      <c r="AA28" s="21">
        <v>110</v>
      </c>
      <c r="AB28" s="21">
        <v>110</v>
      </c>
      <c r="AC28" s="21">
        <v>110</v>
      </c>
      <c r="AD28" s="21">
        <v>110</v>
      </c>
      <c r="AE28" s="21">
        <v>110</v>
      </c>
      <c r="AF28" s="21">
        <v>110</v>
      </c>
      <c r="AG28" s="21">
        <v>110</v>
      </c>
      <c r="AH28" s="21">
        <v>110</v>
      </c>
      <c r="AI28" s="21">
        <v>110</v>
      </c>
      <c r="AJ28" s="21">
        <v>110</v>
      </c>
      <c r="AK28" s="21">
        <v>110</v>
      </c>
      <c r="AL28" s="21">
        <v>110</v>
      </c>
    </row>
    <row r="29" spans="1:38" x14ac:dyDescent="0.3">
      <c r="A29" s="74" t="s">
        <v>217</v>
      </c>
      <c r="B29" s="74" t="s">
        <v>333</v>
      </c>
      <c r="C29" s="22" t="s">
        <v>334</v>
      </c>
      <c r="D29" s="22" t="s">
        <v>213</v>
      </c>
      <c r="E29" s="22" t="s">
        <v>214</v>
      </c>
      <c r="F29" s="22" t="s">
        <v>336</v>
      </c>
      <c r="G29" s="22" t="s">
        <v>222</v>
      </c>
      <c r="H29" s="73">
        <v>137.25221650464101</v>
      </c>
      <c r="I29" s="73">
        <v>124.488715692198</v>
      </c>
      <c r="J29" s="73">
        <v>112.91213161697</v>
      </c>
      <c r="K29" s="73">
        <v>102.412089283744</v>
      </c>
      <c r="L29" s="73">
        <v>92.888477803613</v>
      </c>
      <c r="M29" s="73">
        <v>84.250495903532595</v>
      </c>
      <c r="N29" s="73">
        <v>76.415786196843797</v>
      </c>
      <c r="O29" s="73">
        <v>69.309649960611097</v>
      </c>
      <c r="P29" s="73">
        <v>62.864334933203303</v>
      </c>
      <c r="Q29" s="73">
        <v>57.018389341741802</v>
      </c>
      <c r="R29" s="73">
        <v>51.716076000500401</v>
      </c>
      <c r="S29" s="73">
        <v>46.906840894075501</v>
      </c>
      <c r="T29" s="73">
        <v>42.5448311786228</v>
      </c>
      <c r="U29" s="73">
        <v>38.588458005623799</v>
      </c>
      <c r="V29" s="73">
        <v>35</v>
      </c>
      <c r="W29" s="73">
        <v>35</v>
      </c>
      <c r="X29" s="73">
        <v>35</v>
      </c>
      <c r="Y29" s="73">
        <v>35</v>
      </c>
      <c r="Z29" s="73">
        <v>35</v>
      </c>
      <c r="AA29" s="73">
        <v>35</v>
      </c>
      <c r="AB29" s="73">
        <v>35</v>
      </c>
      <c r="AC29" s="73">
        <v>35</v>
      </c>
      <c r="AD29" s="73">
        <v>35</v>
      </c>
      <c r="AE29" s="73">
        <v>35</v>
      </c>
      <c r="AF29" s="73">
        <v>35</v>
      </c>
      <c r="AG29" s="73">
        <v>35</v>
      </c>
      <c r="AH29" s="73">
        <v>35</v>
      </c>
      <c r="AI29" s="73">
        <v>35</v>
      </c>
      <c r="AJ29" s="73">
        <v>35</v>
      </c>
      <c r="AK29" s="73">
        <v>35</v>
      </c>
      <c r="AL29" s="73">
        <v>35</v>
      </c>
    </row>
    <row r="30" spans="1:38" x14ac:dyDescent="0.3">
      <c r="K30"/>
    </row>
    <row r="31" spans="1:38" x14ac:dyDescent="0.3">
      <c r="A31" s="184" t="s">
        <v>267</v>
      </c>
      <c r="B31" s="184"/>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row>
    <row r="32" spans="1:38" x14ac:dyDescent="0.3">
      <c r="K32"/>
    </row>
    <row r="33" spans="1:38" x14ac:dyDescent="0.3">
      <c r="A33" s="182" t="s">
        <v>169</v>
      </c>
      <c r="B33" s="182"/>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row>
    <row r="34" spans="1:38" x14ac:dyDescent="0.3">
      <c r="A34" s="5" t="s">
        <v>163</v>
      </c>
      <c r="B34" s="5" t="s">
        <v>1</v>
      </c>
      <c r="C34" s="5"/>
      <c r="D34" s="5"/>
      <c r="E34" s="5"/>
      <c r="F34" s="5"/>
      <c r="G34" s="5"/>
      <c r="H34" s="5" t="s">
        <v>164</v>
      </c>
      <c r="I34" s="5"/>
      <c r="K34"/>
    </row>
    <row r="35" spans="1:38" x14ac:dyDescent="0.3">
      <c r="A35" s="74" t="s">
        <v>170</v>
      </c>
      <c r="B35" s="74" t="s">
        <v>78</v>
      </c>
      <c r="C35" s="74"/>
      <c r="D35" s="74"/>
      <c r="E35" s="74"/>
      <c r="F35" s="74"/>
      <c r="G35" s="74"/>
      <c r="H35" s="75">
        <v>0.18315999999999999</v>
      </c>
      <c r="I35" s="77"/>
      <c r="K35"/>
    </row>
    <row r="36" spans="1:38" x14ac:dyDescent="0.3">
      <c r="A36" s="43" t="s">
        <v>171</v>
      </c>
      <c r="B36" s="43" t="s">
        <v>78</v>
      </c>
      <c r="C36" s="43"/>
      <c r="D36" s="43"/>
      <c r="E36" s="43"/>
      <c r="F36" s="43"/>
      <c r="G36" s="43"/>
      <c r="H36" s="76">
        <v>0.24676999999999999</v>
      </c>
      <c r="I36" s="78"/>
      <c r="K36"/>
    </row>
    <row r="37" spans="1:38" x14ac:dyDescent="0.3">
      <c r="A37" s="74" t="s">
        <v>165</v>
      </c>
      <c r="B37" s="74" t="s">
        <v>78</v>
      </c>
      <c r="C37" s="74"/>
      <c r="D37" s="74"/>
      <c r="E37" s="74"/>
      <c r="F37" s="74"/>
      <c r="G37" s="74"/>
      <c r="H37" s="75">
        <v>0.20430999999999999</v>
      </c>
      <c r="I37" s="77"/>
      <c r="K37"/>
    </row>
    <row r="38" spans="1:38" x14ac:dyDescent="0.3">
      <c r="A38" s="74" t="s">
        <v>172</v>
      </c>
      <c r="B38" s="74" t="s">
        <v>78</v>
      </c>
      <c r="C38" s="74"/>
      <c r="D38" s="74"/>
      <c r="E38" s="74"/>
      <c r="F38" s="74"/>
      <c r="G38" s="74"/>
      <c r="H38" s="79">
        <v>0</v>
      </c>
      <c r="I38" s="77"/>
      <c r="K38"/>
    </row>
    <row r="39" spans="1:38" x14ac:dyDescent="0.3">
      <c r="K39"/>
    </row>
    <row r="40" spans="1:38" x14ac:dyDescent="0.3">
      <c r="A40" s="182" t="s">
        <v>248</v>
      </c>
      <c r="B40" s="182"/>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row>
    <row r="41" spans="1:38" x14ac:dyDescent="0.3">
      <c r="A41" s="5" t="s">
        <v>43</v>
      </c>
      <c r="B41" s="5" t="s">
        <v>44</v>
      </c>
      <c r="C41" s="5"/>
      <c r="D41" s="5"/>
      <c r="E41" s="5"/>
      <c r="F41" s="5"/>
      <c r="G41" s="5"/>
      <c r="H41" s="5"/>
      <c r="I41" s="5"/>
      <c r="K41"/>
    </row>
    <row r="42" spans="1:38" ht="55.2" x14ac:dyDescent="0.3">
      <c r="A42" s="93">
        <v>1</v>
      </c>
      <c r="B42" s="94" t="s">
        <v>249</v>
      </c>
      <c r="C42" s="95" t="s">
        <v>268</v>
      </c>
      <c r="D42" s="74"/>
      <c r="E42" s="74"/>
      <c r="F42" s="74"/>
      <c r="G42" s="74"/>
      <c r="H42" s="80"/>
      <c r="I42" s="80"/>
      <c r="K42"/>
    </row>
    <row r="43" spans="1:38" ht="41.4" x14ac:dyDescent="0.3">
      <c r="A43" s="96">
        <v>2</v>
      </c>
      <c r="B43" s="97" t="s">
        <v>250</v>
      </c>
      <c r="C43" s="98" t="s">
        <v>269</v>
      </c>
      <c r="D43" s="43"/>
      <c r="E43" s="43"/>
      <c r="F43" s="43"/>
      <c r="G43" s="43"/>
      <c r="H43" s="44"/>
      <c r="I43" s="44"/>
      <c r="K43"/>
    </row>
    <row r="44" spans="1:38" ht="41.4" x14ac:dyDescent="0.3">
      <c r="A44" s="93">
        <v>3</v>
      </c>
      <c r="B44" s="94" t="s">
        <v>251</v>
      </c>
      <c r="C44" s="95" t="s">
        <v>270</v>
      </c>
      <c r="D44" s="74"/>
      <c r="E44" s="74"/>
      <c r="F44" s="74"/>
      <c r="G44" s="74"/>
      <c r="H44" s="80"/>
      <c r="I44" s="80"/>
      <c r="K44"/>
    </row>
    <row r="45" spans="1:38" ht="41.4" x14ac:dyDescent="0.3">
      <c r="A45" s="96">
        <v>4</v>
      </c>
      <c r="B45" s="97" t="s">
        <v>252</v>
      </c>
      <c r="C45" s="98" t="s">
        <v>271</v>
      </c>
      <c r="D45" s="43"/>
      <c r="E45" s="43"/>
      <c r="F45" s="43"/>
      <c r="G45" s="43"/>
      <c r="H45" s="44"/>
      <c r="I45" s="44"/>
      <c r="K45"/>
    </row>
    <row r="46" spans="1:38" ht="27.6" x14ac:dyDescent="0.3">
      <c r="A46" s="93">
        <v>5</v>
      </c>
      <c r="B46" s="94" t="s">
        <v>253</v>
      </c>
      <c r="C46" s="95" t="s">
        <v>272</v>
      </c>
      <c r="D46" s="74"/>
      <c r="E46" s="74"/>
      <c r="F46" s="74"/>
      <c r="G46" s="74"/>
      <c r="H46" s="80"/>
      <c r="I46" s="80"/>
      <c r="K46"/>
    </row>
    <row r="47" spans="1:38" ht="41.4" x14ac:dyDescent="0.3">
      <c r="A47" s="99">
        <v>6</v>
      </c>
      <c r="B47" s="100" t="s">
        <v>254</v>
      </c>
      <c r="C47" s="95" t="s">
        <v>273</v>
      </c>
      <c r="D47" s="74"/>
      <c r="E47" s="74"/>
      <c r="F47" s="74"/>
      <c r="G47" s="74"/>
      <c r="H47" s="80"/>
      <c r="I47" s="80"/>
      <c r="K47"/>
    </row>
    <row r="48" spans="1:38" x14ac:dyDescent="0.3">
      <c r="K48"/>
    </row>
    <row r="49" spans="11:11" x14ac:dyDescent="0.3">
      <c r="K49"/>
    </row>
    <row r="50" spans="11:11" x14ac:dyDescent="0.3">
      <c r="K50"/>
    </row>
    <row r="51" spans="11:11" x14ac:dyDescent="0.3">
      <c r="K51"/>
    </row>
    <row r="52" spans="11:11" x14ac:dyDescent="0.3">
      <c r="K52"/>
    </row>
    <row r="53" spans="11:11" x14ac:dyDescent="0.3">
      <c r="K53"/>
    </row>
    <row r="54" spans="11:11" x14ac:dyDescent="0.3">
      <c r="K54"/>
    </row>
    <row r="55" spans="11:11" x14ac:dyDescent="0.3">
      <c r="K55"/>
    </row>
    <row r="56" spans="11:11" x14ac:dyDescent="0.3">
      <c r="K56"/>
    </row>
    <row r="57" spans="11:11" x14ac:dyDescent="0.3">
      <c r="K57"/>
    </row>
    <row r="58" spans="11:11" x14ac:dyDescent="0.3">
      <c r="K58"/>
    </row>
    <row r="59" spans="11:11" x14ac:dyDescent="0.3">
      <c r="K59"/>
    </row>
    <row r="60" spans="11:11" x14ac:dyDescent="0.3">
      <c r="K60"/>
    </row>
    <row r="61" spans="11:11" x14ac:dyDescent="0.3">
      <c r="K61"/>
    </row>
    <row r="62" spans="11:11" x14ac:dyDescent="0.3">
      <c r="K62"/>
    </row>
    <row r="63" spans="11:11" x14ac:dyDescent="0.3">
      <c r="K63"/>
    </row>
    <row r="64" spans="11:11" x14ac:dyDescent="0.3">
      <c r="K64"/>
    </row>
    <row r="65" spans="11:11" x14ac:dyDescent="0.3">
      <c r="K65"/>
    </row>
    <row r="66" spans="11:11" x14ac:dyDescent="0.3">
      <c r="K66"/>
    </row>
    <row r="67" spans="11:11" x14ac:dyDescent="0.3">
      <c r="K67"/>
    </row>
    <row r="68" spans="11:11" x14ac:dyDescent="0.3">
      <c r="K68"/>
    </row>
    <row r="69" spans="11:11" x14ac:dyDescent="0.3">
      <c r="K69"/>
    </row>
    <row r="70" spans="11:11" x14ac:dyDescent="0.3">
      <c r="K70"/>
    </row>
    <row r="71" spans="11:11" x14ac:dyDescent="0.3">
      <c r="K71"/>
    </row>
    <row r="72" spans="11:11" x14ac:dyDescent="0.3">
      <c r="K72"/>
    </row>
    <row r="73" spans="11:11" x14ac:dyDescent="0.3">
      <c r="K73"/>
    </row>
    <row r="74" spans="11:11" x14ac:dyDescent="0.3">
      <c r="K74"/>
    </row>
    <row r="75" spans="11:11" x14ac:dyDescent="0.3">
      <c r="K75"/>
    </row>
    <row r="76" spans="11:11" x14ac:dyDescent="0.3">
      <c r="K76"/>
    </row>
    <row r="77" spans="11:11" x14ac:dyDescent="0.3">
      <c r="K77"/>
    </row>
    <row r="78" spans="11:11" x14ac:dyDescent="0.3">
      <c r="K78"/>
    </row>
    <row r="79" spans="11:11" x14ac:dyDescent="0.3">
      <c r="K79"/>
    </row>
    <row r="80" spans="11:11" x14ac:dyDescent="0.3">
      <c r="K80"/>
    </row>
    <row r="81" spans="11:11" x14ac:dyDescent="0.3">
      <c r="K81"/>
    </row>
    <row r="82" spans="11:11" x14ac:dyDescent="0.3">
      <c r="K82"/>
    </row>
    <row r="83" spans="11:11" x14ac:dyDescent="0.3">
      <c r="K83"/>
    </row>
    <row r="84" spans="11:11" x14ac:dyDescent="0.3">
      <c r="K84"/>
    </row>
    <row r="85" spans="11:11" x14ac:dyDescent="0.3">
      <c r="K85"/>
    </row>
    <row r="86" spans="11:11" x14ac:dyDescent="0.3">
      <c r="K86"/>
    </row>
    <row r="87" spans="11:11" x14ac:dyDescent="0.3">
      <c r="K87"/>
    </row>
    <row r="88" spans="11:11" x14ac:dyDescent="0.3">
      <c r="K88"/>
    </row>
    <row r="89" spans="11:11" x14ac:dyDescent="0.3">
      <c r="K89"/>
    </row>
    <row r="90" spans="11:11" x14ac:dyDescent="0.3">
      <c r="K90"/>
    </row>
    <row r="91" spans="11:11" x14ac:dyDescent="0.3">
      <c r="K91"/>
    </row>
    <row r="92" spans="11:11" x14ac:dyDescent="0.3">
      <c r="K92"/>
    </row>
    <row r="93" spans="11:11" x14ac:dyDescent="0.3">
      <c r="K93"/>
    </row>
    <row r="94" spans="11:11" x14ac:dyDescent="0.3">
      <c r="K94"/>
    </row>
    <row r="95" spans="11:11" x14ac:dyDescent="0.3">
      <c r="K95"/>
    </row>
    <row r="96" spans="11:11" x14ac:dyDescent="0.3">
      <c r="K96"/>
    </row>
    <row r="97" spans="11:11" x14ac:dyDescent="0.3">
      <c r="K97"/>
    </row>
    <row r="98" spans="11:11" x14ac:dyDescent="0.3">
      <c r="K98"/>
    </row>
    <row r="99" spans="11:11" x14ac:dyDescent="0.3">
      <c r="K99"/>
    </row>
    <row r="100" spans="11:11" x14ac:dyDescent="0.3">
      <c r="K100"/>
    </row>
    <row r="101" spans="11:11" x14ac:dyDescent="0.3">
      <c r="K101"/>
    </row>
    <row r="102" spans="11:11" x14ac:dyDescent="0.3">
      <c r="K102"/>
    </row>
    <row r="103" spans="11:11" x14ac:dyDescent="0.3">
      <c r="K103"/>
    </row>
    <row r="104" spans="11:11" x14ac:dyDescent="0.3">
      <c r="K104"/>
    </row>
    <row r="105" spans="11:11" x14ac:dyDescent="0.3">
      <c r="K105"/>
    </row>
    <row r="106" spans="11:11" x14ac:dyDescent="0.3">
      <c r="K106"/>
    </row>
    <row r="107" spans="11:11" x14ac:dyDescent="0.3">
      <c r="K107"/>
    </row>
    <row r="108" spans="11:11" x14ac:dyDescent="0.3">
      <c r="K108"/>
    </row>
    <row r="109" spans="11:11" x14ac:dyDescent="0.3">
      <c r="K109"/>
    </row>
    <row r="110" spans="11:11" x14ac:dyDescent="0.3">
      <c r="K110"/>
    </row>
  </sheetData>
  <mergeCells count="11">
    <mergeCell ref="A1:AK1"/>
    <mergeCell ref="A2:AK2"/>
    <mergeCell ref="A3:AK3"/>
    <mergeCell ref="A4:AK4"/>
    <mergeCell ref="A40:AL40"/>
    <mergeCell ref="A11:AL11"/>
    <mergeCell ref="A13:AL13"/>
    <mergeCell ref="A21:AL21"/>
    <mergeCell ref="A23:AL23"/>
    <mergeCell ref="A31:AL31"/>
    <mergeCell ref="A33:AL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521170-0c7b-4593-b001-8bc5c9dccc3e">
      <Terms xmlns="http://schemas.microsoft.com/office/infopath/2007/PartnerControls"/>
    </lcf76f155ced4ddcb4097134ff3c332f>
    <TaxCatchAll xmlns="60aba78f-c63d-49e7-9951-e0adc795d01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7B20B2FAE79149B2BC69FDF7589F17" ma:contentTypeVersion="13" ma:contentTypeDescription="Crée un document." ma:contentTypeScope="" ma:versionID="f102b6146c17391ff01eb276a38a9a26">
  <xsd:schema xmlns:xsd="http://www.w3.org/2001/XMLSchema" xmlns:xs="http://www.w3.org/2001/XMLSchema" xmlns:p="http://schemas.microsoft.com/office/2006/metadata/properties" xmlns:ns2="ad521170-0c7b-4593-b001-8bc5c9dccc3e" xmlns:ns3="60aba78f-c63d-49e7-9951-e0adc795d01d" targetNamespace="http://schemas.microsoft.com/office/2006/metadata/properties" ma:root="true" ma:fieldsID="889d97fb787dacdcede2544e075e6b16" ns2:_="" ns3:_="">
    <xsd:import namespace="ad521170-0c7b-4593-b001-8bc5c9dccc3e"/>
    <xsd:import namespace="60aba78f-c63d-49e7-9951-e0adc795d0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521170-0c7b-4593-b001-8bc5c9dcc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179de7b-83e1-47a7-8766-2fcc2d0a828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aba78f-c63d-49e7-9951-e0adc795d0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950f85-9b7c-4631-a98a-5e474c373bdf}" ma:internalName="TaxCatchAll" ma:showField="CatchAllData" ma:web="60aba78f-c63d-49e7-9951-e0adc795d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55F122-BB19-49FB-A06D-6A3A143464D8}">
  <ds:schemaRefs>
    <ds:schemaRef ds:uri="http://schemas.microsoft.com/office/2006/metadata/properties"/>
    <ds:schemaRef ds:uri="http://schemas.microsoft.com/office/infopath/2007/PartnerControls"/>
    <ds:schemaRef ds:uri="ad521170-0c7b-4593-b001-8bc5c9dccc3e"/>
    <ds:schemaRef ds:uri="60aba78f-c63d-49e7-9951-e0adc795d01d"/>
  </ds:schemaRefs>
</ds:datastoreItem>
</file>

<file path=customXml/itemProps2.xml><?xml version="1.0" encoding="utf-8"?>
<ds:datastoreItem xmlns:ds="http://schemas.openxmlformats.org/officeDocument/2006/customXml" ds:itemID="{6FB476FD-F54A-4D9A-9426-78BAAEE883DF}">
  <ds:schemaRefs>
    <ds:schemaRef ds:uri="http://schemas.microsoft.com/sharepoint/v3/contenttype/forms"/>
  </ds:schemaRefs>
</ds:datastoreItem>
</file>

<file path=customXml/itemProps3.xml><?xml version="1.0" encoding="utf-8"?>
<ds:datastoreItem xmlns:ds="http://schemas.openxmlformats.org/officeDocument/2006/customXml" ds:itemID="{2338FE64-FCCC-4E85-9CF0-3ACBFFEE8C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521170-0c7b-4593-b001-8bc5c9dccc3e"/>
    <ds:schemaRef ds:uri="60aba78f-c63d-49e7-9951-e0adc795d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Asset Level Worked Examples</vt:lpstr>
      <vt:lpstr>Portfolio Level Worked Examples</vt:lpstr>
      <vt:lpstr>Example Input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Leutner</dc:creator>
  <cp:keywords/>
  <dc:description/>
  <cp:lastModifiedBy>Julia Wein</cp:lastModifiedBy>
  <cp:revision/>
  <dcterms:created xsi:type="dcterms:W3CDTF">2026-03-13T16:37:46Z</dcterms:created>
  <dcterms:modified xsi:type="dcterms:W3CDTF">2026-05-13T14:35:39Z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0x010100E47B20B2FAE79149B2BC69FDF7589F17</vt:lpwstr>
  </property>
  <property fmtid="{D5CDD505-2E9C-101B-9397-08002B2CF9AE}" pid="3" name="MediaServiceImageTags">
    <vt:lpwstr/>
  </property>
</Properties>
</file>